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576" windowHeight="8196" tabRatio="500" firstSheet="2" activeTab="8"/>
  </bookViews>
  <sheets>
    <sheet name="Титульный лист" sheetId="1" r:id="rId1"/>
    <sheet name="1 день" sheetId="2" r:id="rId2"/>
    <sheet name="2 день" sheetId="3" r:id="rId3"/>
    <sheet name="3 день" sheetId="4" r:id="rId4"/>
    <sheet name="4 день" sheetId="5" r:id="rId5"/>
    <sheet name="5 день" sheetId="6" r:id="rId6"/>
    <sheet name="6 день" sheetId="7" r:id="rId7"/>
    <sheet name="7 день" sheetId="8" r:id="rId8"/>
    <sheet name="8 день" sheetId="9" r:id="rId9"/>
    <sheet name="9 день" sheetId="10" r:id="rId10"/>
    <sheet name="10 день" sheetId="11" r:id="rId11"/>
    <sheet name="свод 10 дней" sheetId="12" r:id="rId12"/>
  </sheets>
  <definedNames>
    <definedName name="_xlnm.Print_Area" localSheetId="1">'1 день'!$A$1:$O$68</definedName>
    <definedName name="_xlnm.Print_Area" localSheetId="10">'10 день'!$A$1:$O$67</definedName>
    <definedName name="_xlnm.Print_Area" localSheetId="2">'2 день'!$A$1:$O$68</definedName>
    <definedName name="_xlnm.Print_Area" localSheetId="3">'3 день'!$A$1:$O$67</definedName>
    <definedName name="_xlnm.Print_Area" localSheetId="4">'4 день'!$A$1:$O$68</definedName>
    <definedName name="_xlnm.Print_Area" localSheetId="5">'5 день'!$A$1:$O$68</definedName>
    <definedName name="_xlnm.Print_Area" localSheetId="6">'6 день'!$A$1:$O$67</definedName>
    <definedName name="_xlnm.Print_Area" localSheetId="7">'7 день'!$A$1:$O$68</definedName>
    <definedName name="_xlnm.Print_Area" localSheetId="8">'8 день'!$A$1:$O$69</definedName>
    <definedName name="_xlnm.Print_Area" localSheetId="9">'9 день'!$A$1:$O$68</definedName>
    <definedName name="_xlnm.Print_Area" localSheetId="11">'свод 10 дней'!$A$1:$H$37</definedName>
    <definedName name="_xlnm.Print_Area" localSheetId="0">'Титульный лист'!$A$1:$O$20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9" i="7"/>
  <c r="F24" i="6"/>
  <c r="H37" i="12"/>
  <c r="G37"/>
  <c r="F37"/>
  <c r="E37"/>
  <c r="F32"/>
  <c r="F31"/>
  <c r="F30"/>
  <c r="F29"/>
  <c r="F28"/>
  <c r="F27"/>
  <c r="G26"/>
  <c r="F26"/>
  <c r="F25"/>
  <c r="F24"/>
  <c r="F23"/>
  <c r="G22"/>
  <c r="F22"/>
  <c r="G21"/>
  <c r="F21"/>
  <c r="G20"/>
  <c r="F20"/>
  <c r="G19"/>
  <c r="F19"/>
  <c r="G17"/>
  <c r="F17"/>
  <c r="G16"/>
  <c r="F16"/>
  <c r="G15"/>
  <c r="F15"/>
  <c r="F14"/>
  <c r="G13"/>
  <c r="F13"/>
  <c r="G12"/>
  <c r="F12"/>
  <c r="G11"/>
  <c r="F11"/>
  <c r="G10"/>
  <c r="F10"/>
  <c r="F9"/>
  <c r="F8"/>
  <c r="F7"/>
  <c r="G6"/>
  <c r="F6"/>
  <c r="G62" i="11"/>
  <c r="G59"/>
  <c r="H54"/>
  <c r="G54"/>
  <c r="H51"/>
  <c r="G51"/>
  <c r="H46"/>
  <c r="G46"/>
  <c r="H45"/>
  <c r="G45"/>
  <c r="G34"/>
  <c r="F28"/>
  <c r="E28"/>
  <c r="D28"/>
  <c r="F23"/>
  <c r="E23"/>
  <c r="D23"/>
  <c r="O13"/>
  <c r="N13"/>
  <c r="L13"/>
  <c r="I13"/>
  <c r="G13"/>
  <c r="G29" s="1"/>
  <c r="I34" s="1"/>
  <c r="F13"/>
  <c r="F29" s="1"/>
  <c r="H34" s="1"/>
  <c r="E13"/>
  <c r="E14" s="1"/>
  <c r="D13"/>
  <c r="D29" s="1"/>
  <c r="F34" s="1"/>
  <c r="G63" i="10"/>
  <c r="G61"/>
  <c r="G55"/>
  <c r="G48"/>
  <c r="H47"/>
  <c r="G47"/>
  <c r="G44"/>
  <c r="G42"/>
  <c r="G29"/>
  <c r="F29"/>
  <c r="E29"/>
  <c r="D29"/>
  <c r="E24"/>
  <c r="O22"/>
  <c r="N22"/>
  <c r="L22"/>
  <c r="I22"/>
  <c r="G22"/>
  <c r="F22"/>
  <c r="D22"/>
  <c r="D24" s="1"/>
  <c r="O19"/>
  <c r="N19"/>
  <c r="L19"/>
  <c r="I19"/>
  <c r="G19"/>
  <c r="F19"/>
  <c r="O14"/>
  <c r="N14"/>
  <c r="L14"/>
  <c r="I14"/>
  <c r="G14"/>
  <c r="F14"/>
  <c r="F15" s="1"/>
  <c r="E14"/>
  <c r="E30" s="1"/>
  <c r="G35" s="1"/>
  <c r="D14"/>
  <c r="D15" s="1"/>
  <c r="G64" i="9"/>
  <c r="H52"/>
  <c r="G52"/>
  <c r="H48"/>
  <c r="G48"/>
  <c r="G45"/>
  <c r="G44"/>
  <c r="G43"/>
  <c r="F36"/>
  <c r="F31"/>
  <c r="H36" s="1"/>
  <c r="G30"/>
  <c r="F30"/>
  <c r="E30"/>
  <c r="D30"/>
  <c r="F24"/>
  <c r="O18"/>
  <c r="N18"/>
  <c r="L18"/>
  <c r="I18"/>
  <c r="G18"/>
  <c r="G24" s="1"/>
  <c r="E18"/>
  <c r="E31" s="1"/>
  <c r="G36" s="1"/>
  <c r="D18"/>
  <c r="D24" s="1"/>
  <c r="G15"/>
  <c r="F15"/>
  <c r="E15"/>
  <c r="G63" i="8"/>
  <c r="G62"/>
  <c r="G60"/>
  <c r="H55"/>
  <c r="G55"/>
  <c r="H51"/>
  <c r="G51"/>
  <c r="G49"/>
  <c r="H48"/>
  <c r="G48"/>
  <c r="H47"/>
  <c r="G47"/>
  <c r="G43"/>
  <c r="I35"/>
  <c r="F35"/>
  <c r="G29"/>
  <c r="F29"/>
  <c r="E29"/>
  <c r="D29"/>
  <c r="D24"/>
  <c r="O18"/>
  <c r="N18"/>
  <c r="L18"/>
  <c r="I18"/>
  <c r="G18"/>
  <c r="F18"/>
  <c r="F24" s="1"/>
  <c r="E18"/>
  <c r="O13"/>
  <c r="N13"/>
  <c r="L13"/>
  <c r="I13"/>
  <c r="G13"/>
  <c r="G15" s="1"/>
  <c r="F13"/>
  <c r="E13"/>
  <c r="E30" s="1"/>
  <c r="G35" s="1"/>
  <c r="D13"/>
  <c r="D15" s="1"/>
  <c r="G62" i="7"/>
  <c r="G60"/>
  <c r="G59"/>
  <c r="G47"/>
  <c r="H46"/>
  <c r="G46"/>
  <c r="G45"/>
  <c r="H43"/>
  <c r="G43"/>
  <c r="G42"/>
  <c r="G41"/>
  <c r="G28"/>
  <c r="F28"/>
  <c r="E28"/>
  <c r="D28"/>
  <c r="O20"/>
  <c r="N20"/>
  <c r="M20"/>
  <c r="L20"/>
  <c r="K20"/>
  <c r="J20"/>
  <c r="I20"/>
  <c r="H20"/>
  <c r="G20"/>
  <c r="G23" s="1"/>
  <c r="F20"/>
  <c r="F23" s="1"/>
  <c r="E20"/>
  <c r="E23" s="1"/>
  <c r="D20"/>
  <c r="D23" s="1"/>
  <c r="O19"/>
  <c r="N19"/>
  <c r="O13"/>
  <c r="N13"/>
  <c r="L13"/>
  <c r="I13"/>
  <c r="G13"/>
  <c r="F13"/>
  <c r="E13"/>
  <c r="D13"/>
  <c r="G63" i="6"/>
  <c r="H60"/>
  <c r="G60"/>
  <c r="G55"/>
  <c r="H51"/>
  <c r="G51"/>
  <c r="H47"/>
  <c r="G47"/>
  <c r="H46"/>
  <c r="G46"/>
  <c r="G44"/>
  <c r="H43"/>
  <c r="G43"/>
  <c r="G42"/>
  <c r="G30"/>
  <c r="J35" s="1"/>
  <c r="F30"/>
  <c r="I35" s="1"/>
  <c r="E30"/>
  <c r="H35" s="1"/>
  <c r="D30"/>
  <c r="G35" s="1"/>
  <c r="G29"/>
  <c r="F29"/>
  <c r="E29"/>
  <c r="D29"/>
  <c r="G24"/>
  <c r="K21"/>
  <c r="J21"/>
  <c r="H21"/>
  <c r="L18"/>
  <c r="G15"/>
  <c r="F15"/>
  <c r="E15"/>
  <c r="D15"/>
  <c r="G63" i="5"/>
  <c r="G61"/>
  <c r="G60"/>
  <c r="H55"/>
  <c r="G55"/>
  <c r="H51"/>
  <c r="G51"/>
  <c r="G48"/>
  <c r="H47"/>
  <c r="G47"/>
  <c r="G44"/>
  <c r="G43"/>
  <c r="G42"/>
  <c r="I35"/>
  <c r="F35"/>
  <c r="G29"/>
  <c r="F29"/>
  <c r="E29"/>
  <c r="D29"/>
  <c r="O21"/>
  <c r="N21"/>
  <c r="L21"/>
  <c r="I21"/>
  <c r="G21"/>
  <c r="F21"/>
  <c r="D21"/>
  <c r="O18"/>
  <c r="N18"/>
  <c r="L18"/>
  <c r="I18"/>
  <c r="G18"/>
  <c r="G24" s="1"/>
  <c r="F18"/>
  <c r="E18"/>
  <c r="E24" s="1"/>
  <c r="D18"/>
  <c r="O13"/>
  <c r="N13"/>
  <c r="L13"/>
  <c r="I13"/>
  <c r="G13"/>
  <c r="G15" s="1"/>
  <c r="F13"/>
  <c r="E13"/>
  <c r="E15" s="1"/>
  <c r="D13"/>
  <c r="D15" s="1"/>
  <c r="G62" i="4"/>
  <c r="G61"/>
  <c r="G60"/>
  <c r="H59"/>
  <c r="G59"/>
  <c r="G54"/>
  <c r="H51"/>
  <c r="G51"/>
  <c r="G48"/>
  <c r="H47"/>
  <c r="G47"/>
  <c r="H46"/>
  <c r="G46"/>
  <c r="G42"/>
  <c r="G41"/>
  <c r="I34"/>
  <c r="H34"/>
  <c r="G28"/>
  <c r="F28"/>
  <c r="E28"/>
  <c r="D28"/>
  <c r="E23"/>
  <c r="O20"/>
  <c r="N20"/>
  <c r="L20"/>
  <c r="I20"/>
  <c r="G20"/>
  <c r="F20"/>
  <c r="D20"/>
  <c r="D23" s="1"/>
  <c r="N18"/>
  <c r="O13"/>
  <c r="N13"/>
  <c r="L13"/>
  <c r="I13"/>
  <c r="G13"/>
  <c r="G14" s="1"/>
  <c r="F13"/>
  <c r="F14" s="1"/>
  <c r="E13"/>
  <c r="E29" s="1"/>
  <c r="G34" s="1"/>
  <c r="D13"/>
  <c r="G68" i="3"/>
  <c r="G63"/>
  <c r="H62"/>
  <c r="G62"/>
  <c r="G61"/>
  <c r="G60"/>
  <c r="H57"/>
  <c r="G57"/>
  <c r="H55"/>
  <c r="G55"/>
  <c r="G48"/>
  <c r="H47"/>
  <c r="G47"/>
  <c r="H46"/>
  <c r="G46"/>
  <c r="H43"/>
  <c r="G43"/>
  <c r="I35"/>
  <c r="H35"/>
  <c r="G35"/>
  <c r="F35"/>
  <c r="O21"/>
  <c r="N21"/>
  <c r="L21"/>
  <c r="I21"/>
  <c r="D21"/>
  <c r="O18"/>
  <c r="N18"/>
  <c r="L18"/>
  <c r="I18"/>
  <c r="G18"/>
  <c r="E18"/>
  <c r="E24" s="1"/>
  <c r="D18"/>
  <c r="D24" s="1"/>
  <c r="G15"/>
  <c r="E15"/>
  <c r="D15"/>
  <c r="K14"/>
  <c r="J14"/>
  <c r="H14"/>
  <c r="G63" i="2"/>
  <c r="G62"/>
  <c r="G60"/>
  <c r="H55"/>
  <c r="G55"/>
  <c r="H51"/>
  <c r="G51"/>
  <c r="H48"/>
  <c r="G48"/>
  <c r="H47"/>
  <c r="G47"/>
  <c r="G44"/>
  <c r="G43"/>
  <c r="H42"/>
  <c r="G42"/>
  <c r="G41"/>
  <c r="I35"/>
  <c r="H35"/>
  <c r="G35"/>
  <c r="F35"/>
  <c r="L13"/>
  <c r="I13"/>
  <c r="G13"/>
  <c r="F13"/>
  <c r="E13"/>
  <c r="D13"/>
  <c r="F29" i="7" l="1"/>
  <c r="H34" s="1"/>
  <c r="E29"/>
  <c r="G34" s="1"/>
  <c r="G30" i="10"/>
  <c r="I35" s="1"/>
  <c r="F24"/>
  <c r="D29" i="7"/>
  <c r="F34" s="1"/>
  <c r="D29" i="4"/>
  <c r="F34" s="1"/>
  <c r="F30" i="5"/>
  <c r="H35" s="1"/>
  <c r="F24"/>
  <c r="I34" i="7"/>
  <c r="F30" i="8"/>
  <c r="H35" s="1"/>
  <c r="G24" i="10"/>
  <c r="E14" i="4"/>
  <c r="F15" i="5"/>
  <c r="E30"/>
  <c r="G35" s="1"/>
  <c r="D14" i="7"/>
  <c r="F14"/>
  <c r="E15" i="8"/>
  <c r="G31" i="9"/>
  <c r="I36" s="1"/>
  <c r="E15" i="10"/>
  <c r="G15"/>
  <c r="D30"/>
  <c r="F35" s="1"/>
  <c r="F30"/>
  <c r="H35" s="1"/>
  <c r="D14" i="11"/>
  <c r="F14"/>
  <c r="D14" i="4"/>
  <c r="E14" i="7"/>
  <c r="G14"/>
  <c r="F15" i="8"/>
  <c r="G14" i="11"/>
</calcChain>
</file>

<file path=xl/sharedStrings.xml><?xml version="1.0" encoding="utf-8"?>
<sst xmlns="http://schemas.openxmlformats.org/spreadsheetml/2006/main" count="1175" uniqueCount="173">
  <si>
    <t xml:space="preserve">МЕНЮ </t>
  </si>
  <si>
    <t>(3-х разового питания на 10 дней)</t>
  </si>
  <si>
    <t>на осенне-зимний период</t>
  </si>
  <si>
    <t>для обучающихся 1-9-х классов по категории от 7-15 лет общеобразовательных организаций Тверской</t>
  </si>
  <si>
    <t>области в соответствии требованиям СанПиН 2.4.5.2409-08 «Санитарно-эпидемиологические</t>
  </si>
  <si>
    <t>требования к организации питания обучающихся в общеобразовательных учреждениях, учреждениях</t>
  </si>
  <si>
    <t>начального и среднего профессионального образования» и МР 2.4.5.0107-15 «Организация питания</t>
  </si>
  <si>
    <t>детей дошкольного и школьного возраста в организованных коллективах».</t>
  </si>
  <si>
    <t>Сборник технических нормативов-Сборник рецептур но продукцию для обучающихся во всех образовательных</t>
  </si>
  <si>
    <t>учреждениях/Под ред, М.П.Могильного и В.А.Тутельяна,-М,:Де/1и плюс, 2015,-544с</t>
  </si>
  <si>
    <t>В соответствии нормативов Учреждения Российской Академии Медицинских Наук Научно-исследовательский</t>
  </si>
  <si>
    <t>институт питания РАМН, 2011</t>
  </si>
  <si>
    <t>Разработано государственным бюджетным профессиональным образовательным учреждением «Тверской колледж</t>
  </si>
  <si>
    <t>сервиса и туризма».</t>
  </si>
  <si>
    <t xml:space="preserve">День: </t>
  </si>
  <si>
    <t>понедельник</t>
  </si>
  <si>
    <t xml:space="preserve">Неделя: </t>
  </si>
  <si>
    <t>первая</t>
  </si>
  <si>
    <t xml:space="preserve">Сезон: </t>
  </si>
  <si>
    <t>осенне-зимний</t>
  </si>
  <si>
    <t xml:space="preserve">Возрастная категория: </t>
  </si>
  <si>
    <t>№ рец.</t>
  </si>
  <si>
    <t>Приём пищи, наименование блюда</t>
  </si>
  <si>
    <t>Масса порции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</si>
  <si>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</si>
  <si>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</si>
  <si>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</si>
  <si>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</si>
  <si>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</si>
  <si>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</si>
  <si>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</si>
  <si>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</si>
  <si>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</si>
  <si>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</si>
  <si>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</si>
  <si>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</si>
  <si>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</si>
  <si>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</si>
  <si>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</si>
  <si>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>Завтрак</t>
  </si>
  <si>
    <t>Каша молочная овсяная, вязкая со сливочным маслом</t>
  </si>
  <si>
    <t>Бутерброд с маслом сливочным и сыром (1 шт.)</t>
  </si>
  <si>
    <t>Хлеб пшеничный</t>
  </si>
  <si>
    <t>Масло сливочное</t>
  </si>
  <si>
    <t xml:space="preserve">Сыр </t>
  </si>
  <si>
    <t>Какао с молоком</t>
  </si>
  <si>
    <t>ИТОГО:</t>
  </si>
  <si>
    <t>Обед</t>
  </si>
  <si>
    <t xml:space="preserve">Суп картофельный  с макаронными изделиями  </t>
  </si>
  <si>
    <t>Макароные изделия отварные с маслом</t>
  </si>
  <si>
    <t>Котлеты из курицы из полуфабрикатов высокой степени готовности (2 шт.по 80 г.)</t>
  </si>
  <si>
    <t>Компот из свежих яблок</t>
  </si>
  <si>
    <t>Хлеб ржано-пшеничный</t>
  </si>
  <si>
    <t>0.62</t>
  </si>
  <si>
    <t>ИТОГО</t>
  </si>
  <si>
    <t>ИТОГО за день:</t>
  </si>
  <si>
    <t>Средние показания на день</t>
  </si>
  <si>
    <t>пищевые вещества</t>
  </si>
  <si>
    <t>энергет. ценн. ккал</t>
  </si>
  <si>
    <t>Потребность по СаН ПиН (60-70%)</t>
  </si>
  <si>
    <t>46,2-53,9</t>
  </si>
  <si>
    <t>47,4-55,3</t>
  </si>
  <si>
    <t>201-234,5</t>
  </si>
  <si>
    <t>1410-1645</t>
  </si>
  <si>
    <t>По меню</t>
  </si>
  <si>
    <t>7-11/12 лет и старше</t>
  </si>
  <si>
    <t>Рекомендуемые среднесуточные наборы пищевых продуктов, в том числе используемые для приготовления блюд и напитков, для обучающихся общеобразовательных учреждений</t>
  </si>
  <si>
    <t>Наименование продуктов</t>
  </si>
  <si>
    <t>Количество продуктов в зависимости от возраста обучающихся</t>
  </si>
  <si>
    <t>Средняя за 10 дней</t>
  </si>
  <si>
    <t>в г, мл, брутто</t>
  </si>
  <si>
    <t>в г, мл, нетто</t>
  </si>
  <si>
    <t>7-11 лет</t>
  </si>
  <si>
    <t>Хлеб ржаной (ржано-пшеничный)</t>
  </si>
  <si>
    <t>Мука пшеничная</t>
  </si>
  <si>
    <t>Крупы, бобовые</t>
  </si>
  <si>
    <t>Макаронные изделия</t>
  </si>
  <si>
    <t>Картофель</t>
  </si>
  <si>
    <t>250 &lt;*&gt;</t>
  </si>
  <si>
    <t>Овощи свежие, зелень</t>
  </si>
  <si>
    <t>280 &lt;**&gt;</t>
  </si>
  <si>
    <t>Фрукты (плоды) свежие</t>
  </si>
  <si>
    <t>185 &lt;**&gt;</t>
  </si>
  <si>
    <t>Фрукты (плоды) сухие, в т.ч. шиповник</t>
  </si>
  <si>
    <t>Соки плодоовощные, напитки витаминизированные, в т.ч. инстантные</t>
  </si>
  <si>
    <t>Мясо жилованное (мясо на кости) 1 кат.</t>
  </si>
  <si>
    <t>77 (95)</t>
  </si>
  <si>
    <t>Цыплята 1 категории потрошеные (куры 1 кат. п/п)</t>
  </si>
  <si>
    <t>40 (51)</t>
  </si>
  <si>
    <t>Рыба-филе</t>
  </si>
  <si>
    <t>Колбасные изделия</t>
  </si>
  <si>
    <t>Молоко (массовая доля жира 2,5%, 3,2%)</t>
  </si>
  <si>
    <t>Кисломолочные продукты (массовая доля жира 2,5%, 3,2%)</t>
  </si>
  <si>
    <t>Творог (массовая доля жира не более 9%)</t>
  </si>
  <si>
    <t>Сыр</t>
  </si>
  <si>
    <t>Сметана (массовая доля жира не более 15%)</t>
  </si>
  <si>
    <t>Масло растительное</t>
  </si>
  <si>
    <t>Яйцо диетическое</t>
  </si>
  <si>
    <t>1 шт.</t>
  </si>
  <si>
    <t>Сахар &lt;***&gt;</t>
  </si>
  <si>
    <t>Кондитерские изделия</t>
  </si>
  <si>
    <t>Чай</t>
  </si>
  <si>
    <t>Какао</t>
  </si>
  <si>
    <t>Дрожжи хлебопекарные</t>
  </si>
  <si>
    <t>Соль</t>
  </si>
  <si>
    <t>вторник</t>
  </si>
  <si>
    <r>
      <rPr>
        <b/>
        <sz val="12"/>
        <color rgb="FF000000"/>
        <rFont val="Calibri"/>
        <family val="2"/>
        <charset val="204"/>
      </rPr>
      <t>В</t>
    </r>
    <r>
      <rPr>
        <sz val="8"/>
        <color rgb="FF000000"/>
        <rFont val="Calibri"/>
        <family val="2"/>
        <charset val="204"/>
      </rPr>
      <t>1</t>
    </r>
  </si>
  <si>
    <t>Макаронные изделия отварные со сливочным маслом и сыром</t>
  </si>
  <si>
    <t>Бутерброд с п/к колбасой</t>
  </si>
  <si>
    <t xml:space="preserve">Хлеб пшеничный  </t>
  </si>
  <si>
    <t>Колбаса п/к</t>
  </si>
  <si>
    <t xml:space="preserve">Борщ с капустой и картофелем </t>
  </si>
  <si>
    <t>Котлеты рыбные из полуфабрикатов высокой степени готовности</t>
  </si>
  <si>
    <t>Пюре картофельное</t>
  </si>
  <si>
    <t>Сок  фруктовый (абрикосовый)</t>
  </si>
  <si>
    <t>36.73</t>
  </si>
  <si>
    <t>среда</t>
  </si>
  <si>
    <r>
      <rPr>
        <b/>
        <sz val="12"/>
        <color rgb="FF000000"/>
        <rFont val="Calibri"/>
        <family val="2"/>
        <charset val="204"/>
      </rPr>
      <t>В</t>
    </r>
    <r>
      <rPr>
        <b/>
        <sz val="8"/>
        <color rgb="FF000000"/>
        <rFont val="Calibri"/>
        <family val="2"/>
        <charset val="204"/>
      </rPr>
      <t>1</t>
    </r>
  </si>
  <si>
    <t>Каша жидкая молочная из риса с маслом сливочным</t>
  </si>
  <si>
    <t xml:space="preserve">Хлеб пшеничный </t>
  </si>
  <si>
    <t>Напиток кофейный с молоком</t>
  </si>
  <si>
    <t>Суп картофельный с крупой "Крестьянский"</t>
  </si>
  <si>
    <t>Котлеты из курицы из полуфабрикатов высокой степени готовности (2 шт.по 80 г)</t>
  </si>
  <si>
    <t>Капуста тушеная</t>
  </si>
  <si>
    <t>Сок  фруктовый (яблочный)</t>
  </si>
  <si>
    <t>четверг</t>
  </si>
  <si>
    <t>Каша пшенная жидкая молочная с маслом сливочным</t>
  </si>
  <si>
    <t xml:space="preserve"> 40/20/20</t>
  </si>
  <si>
    <t>Сыр российский</t>
  </si>
  <si>
    <t xml:space="preserve">Щи из свежей капусты с картофелем </t>
  </si>
  <si>
    <t>Каша рассыпчатая гречневая</t>
  </si>
  <si>
    <t>180/5</t>
  </si>
  <si>
    <t>Сосиски отварные</t>
  </si>
  <si>
    <t>Сок  фруктовый (грушевый)</t>
  </si>
  <si>
    <t>пятница</t>
  </si>
  <si>
    <t>Каша  рассыпчатая  гречневая</t>
  </si>
  <si>
    <t>Колбаса вареная</t>
  </si>
  <si>
    <t>Кисель из концентрата на плодовых или ягодных экстратах</t>
  </si>
  <si>
    <t xml:space="preserve">Суп картофельный с горохом </t>
  </si>
  <si>
    <t>7-11/12лет и старше</t>
  </si>
  <si>
    <t>вторая</t>
  </si>
  <si>
    <t>Каша  пшеничная жидкая молочная с маслом  сливочным</t>
  </si>
  <si>
    <t>9.1</t>
  </si>
  <si>
    <t>0.05</t>
  </si>
  <si>
    <t xml:space="preserve">Суп картофельный с макаронными изделиями  </t>
  </si>
  <si>
    <t>Рис отварной</t>
  </si>
  <si>
    <t>7-11 /12лет  и старше</t>
  </si>
  <si>
    <t>Суп молочный с рисом</t>
  </si>
  <si>
    <t>Щи из свежей капусты с картофелем на курином бульоне</t>
  </si>
  <si>
    <t>Каша молочная овсяная вязкая со сливочным маслом</t>
  </si>
  <si>
    <t>Бутерброд с маслом сливочным и сыром</t>
  </si>
  <si>
    <t xml:space="preserve">Жаркое по-домашнему </t>
  </si>
  <si>
    <t>Компот из смеси  сухофруктов</t>
  </si>
  <si>
    <t>7-11 /12лет и старше</t>
  </si>
  <si>
    <t xml:space="preserve"> Обед</t>
  </si>
  <si>
    <t>Суп картофельный с горохом</t>
  </si>
  <si>
    <t>Суп картофельный  с крупой "Крестьянский"</t>
  </si>
  <si>
    <t>Каша рассыпчатая (гречневая)</t>
  </si>
  <si>
    <t>По меню среднее за 10 дней</t>
  </si>
  <si>
    <t>12 лет и старше</t>
  </si>
  <si>
    <t>180/10</t>
  </si>
  <si>
    <t>12 лет  и старше</t>
  </si>
  <si>
    <t>73.20</t>
  </si>
  <si>
    <t xml:space="preserve">Бутерброд с маслом сливочным и сыром </t>
  </si>
  <si>
    <t>200/15</t>
  </si>
  <si>
    <t>Сок фруктовый(яблочный)</t>
  </si>
  <si>
    <t xml:space="preserve">Бутерброд с п/к   колбасой </t>
  </si>
  <si>
    <t xml:space="preserve">Колбаса п/к </t>
  </si>
  <si>
    <t>Бутерброд с п/к   колбасой</t>
  </si>
  <si>
    <t xml:space="preserve"> П/к   колбаса</t>
  </si>
  <si>
    <t>Бутерброд с  п/к  колбасой</t>
  </si>
  <si>
    <t>Бутерброд с п/к  колбасой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</si>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</sst>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_-* #,##0.00\ _₽_-;\-* #,##0.00\ _₽_-;_-* \-??\ _₽_-;_-@_-"/>
  </numFmts>
  <fonts count="31">
    <font>
      <sz val="11"/>
      <color rgb="FF000000"/>
      <name val="Calibri"/>
      <family val="2"/>
      <charset val="204"/>
    </font>
    <font>
      <b/>
      <sz val="25"/>
      <color rgb="FF000000"/>
      <name val="Times New Roman"/>
      <family val="1"/>
      <charset val="204"/>
    </font>
    <font>
      <sz val="25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b/>
      <i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sz val="10"/>
      <color rgb="FF333333"/>
      <name val="Times New Roman"/>
      <family val="1"/>
      <charset val="204"/>
    </font>
    <font>
      <b/>
      <sz val="10"/>
      <color rgb="FF000000"/>
      <name val="Calibri"/>
      <family val="2"/>
      <charset val="204"/>
    </font>
    <font>
      <b/>
      <i/>
      <sz val="10"/>
      <color rgb="FF000000"/>
      <name val="Calibri"/>
      <family val="2"/>
      <charset val="204"/>
    </font>
    <font>
      <i/>
      <sz val="10"/>
      <color rgb="FF000000"/>
      <name val="Calibri"/>
      <family val="2"/>
      <charset val="204"/>
    </font>
    <font>
      <i/>
      <sz val="9"/>
      <color rgb="FF000000"/>
      <name val="Calibri"/>
      <family val="2"/>
      <charset val="204"/>
    </font>
    <font>
      <b/>
      <sz val="11"/>
      <name val="Arial Cyr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454545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i/>
      <sz val="1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8"/>
      <color rgb="FF000000"/>
      <name val="Calibri"/>
      <family val="2"/>
      <charset val="204"/>
    </font>
    <font>
      <b/>
      <i/>
      <sz val="9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BFBFBF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A6A6A6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30" fillId="0" borderId="0" applyBorder="0" applyProtection="0"/>
  </cellStyleXfs>
  <cellXfs count="159">
    <xf numFmtId="0" fontId="0" fillId="0" borderId="0" xfId="0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justify"/>
    </xf>
    <xf numFmtId="0" fontId="7" fillId="0" borderId="0" xfId="0" applyFont="1"/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wrapText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top" wrapText="1"/>
      <protection hidden="1"/>
    </xf>
    <xf numFmtId="0" fontId="10" fillId="0" borderId="1" xfId="0" applyFont="1" applyBorder="1" applyAlignment="1" applyProtection="1">
      <alignment vertical="top" wrapText="1"/>
      <protection hidden="1"/>
    </xf>
    <xf numFmtId="164" fontId="11" fillId="0" borderId="1" xfId="1" applyFont="1" applyBorder="1" applyAlignment="1" applyProtection="1">
      <alignment vertical="center" wrapText="1"/>
      <protection hidden="1"/>
    </xf>
    <xf numFmtId="0" fontId="7" fillId="0" borderId="1" xfId="0" applyFont="1" applyBorder="1" applyAlignment="1" applyProtection="1">
      <alignment vertical="top" wrapText="1"/>
      <protection hidden="1"/>
    </xf>
    <xf numFmtId="0" fontId="12" fillId="0" borderId="1" xfId="0" applyFont="1" applyBorder="1" applyAlignment="1" applyProtection="1">
      <alignment horizontal="center" vertical="top" wrapText="1"/>
      <protection hidden="1"/>
    </xf>
    <xf numFmtId="0" fontId="9" fillId="3" borderId="1" xfId="0" applyFont="1" applyFill="1" applyBorder="1" applyAlignment="1" applyProtection="1">
      <alignment vertical="top" wrapText="1"/>
      <protection hidden="1"/>
    </xf>
    <xf numFmtId="0" fontId="7" fillId="3" borderId="1" xfId="0" applyFont="1" applyFill="1" applyBorder="1" applyAlignment="1" applyProtection="1">
      <alignment vertical="top" wrapText="1"/>
      <protection hidden="1"/>
    </xf>
    <xf numFmtId="164" fontId="7" fillId="3" borderId="1" xfId="0" applyNumberFormat="1" applyFont="1" applyFill="1" applyBorder="1" applyAlignment="1" applyProtection="1">
      <alignment vertical="top" wrapText="1"/>
      <protection hidden="1"/>
    </xf>
    <xf numFmtId="164" fontId="9" fillId="3" borderId="1" xfId="0" applyNumberFormat="1" applyFont="1" applyFill="1" applyBorder="1" applyAlignment="1" applyProtection="1">
      <alignment vertical="center" wrapText="1"/>
      <protection hidden="1"/>
    </xf>
    <xf numFmtId="164" fontId="9" fillId="3" borderId="1" xfId="0" applyNumberFormat="1" applyFont="1" applyFill="1" applyBorder="1" applyAlignment="1" applyProtection="1">
      <alignment vertical="top" wrapText="1"/>
      <protection hidden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 applyProtection="1">
      <alignment horizontal="left" vertical="top" wrapText="1"/>
      <protection hidden="1"/>
    </xf>
    <xf numFmtId="164" fontId="7" fillId="0" borderId="1" xfId="1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4" borderId="3" xfId="0" applyFont="1" applyFill="1" applyBorder="1" applyAlignment="1" applyProtection="1">
      <alignment vertical="top" wrapText="1"/>
      <protection hidden="1"/>
    </xf>
    <xf numFmtId="0" fontId="9" fillId="4" borderId="4" xfId="0" applyFont="1" applyFill="1" applyBorder="1" applyAlignment="1" applyProtection="1">
      <alignment vertical="top" wrapText="1"/>
      <protection hidden="1"/>
    </xf>
    <xf numFmtId="164" fontId="9" fillId="4" borderId="4" xfId="0" applyNumberFormat="1" applyFont="1" applyFill="1" applyBorder="1" applyAlignment="1" applyProtection="1">
      <alignment vertical="top" wrapText="1"/>
      <protection hidden="1"/>
    </xf>
    <xf numFmtId="2" fontId="14" fillId="0" borderId="6" xfId="0" applyNumberFormat="1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/>
    </xf>
    <xf numFmtId="2" fontId="15" fillId="0" borderId="6" xfId="0" applyNumberFormat="1" applyFont="1" applyBorder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18" fillId="5" borderId="0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left" vertical="top" wrapText="1"/>
    </xf>
    <xf numFmtId="2" fontId="7" fillId="0" borderId="1" xfId="0" applyNumberFormat="1" applyFont="1" applyBorder="1"/>
    <xf numFmtId="2" fontId="7" fillId="5" borderId="1" xfId="0" applyNumberFormat="1" applyFont="1" applyFill="1" applyBorder="1"/>
    <xf numFmtId="2" fontId="7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justify" vertical="center"/>
    </xf>
    <xf numFmtId="0" fontId="0" fillId="0" borderId="0" xfId="0" applyFont="1" applyAlignment="1">
      <alignment wrapText="1"/>
    </xf>
    <xf numFmtId="0" fontId="20" fillId="2" borderId="1" xfId="0" applyFont="1" applyFill="1" applyBorder="1" applyAlignment="1" applyProtection="1">
      <alignment horizontal="center" vertical="center" wrapText="1"/>
      <protection hidden="1"/>
    </xf>
    <xf numFmtId="0" fontId="23" fillId="0" borderId="1" xfId="0" applyFont="1" applyBorder="1" applyAlignment="1" applyProtection="1">
      <alignment vertical="top" wrapText="1"/>
      <protection hidden="1"/>
    </xf>
    <xf numFmtId="0" fontId="7" fillId="0" borderId="0" xfId="0" applyFont="1" applyProtection="1">
      <protection hidden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25" fillId="0" borderId="0" xfId="0" applyFont="1" applyBorder="1" applyAlignment="1">
      <alignment horizontal="center" vertical="center" wrapText="1"/>
    </xf>
    <xf numFmtId="0" fontId="7" fillId="0" borderId="0" xfId="0" applyFont="1" applyBorder="1" applyProtection="1">
      <protection hidden="1"/>
    </xf>
    <xf numFmtId="0" fontId="7" fillId="0" borderId="1" xfId="0" applyFont="1" applyBorder="1"/>
    <xf numFmtId="0" fontId="7" fillId="0" borderId="0" xfId="0" applyFont="1" applyBorder="1"/>
    <xf numFmtId="0" fontId="10" fillId="0" borderId="10" xfId="0" applyFont="1" applyBorder="1" applyAlignment="1" applyProtection="1">
      <alignment horizontal="center" vertical="top" wrapText="1"/>
      <protection hidden="1"/>
    </xf>
    <xf numFmtId="0" fontId="9" fillId="3" borderId="3" xfId="0" applyFont="1" applyFill="1" applyBorder="1" applyAlignment="1" applyProtection="1">
      <alignment vertical="top"/>
      <protection hidden="1"/>
    </xf>
    <xf numFmtId="0" fontId="0" fillId="3" borderId="1" xfId="0" applyFont="1" applyFill="1" applyBorder="1" applyAlignment="1" applyProtection="1">
      <alignment vertical="top"/>
      <protection hidden="1"/>
    </xf>
    <xf numFmtId="164" fontId="0" fillId="3" borderId="1" xfId="0" applyNumberFormat="1" applyFont="1" applyFill="1" applyBorder="1" applyAlignment="1" applyProtection="1">
      <alignment vertical="top"/>
      <protection hidden="1"/>
    </xf>
    <xf numFmtId="164" fontId="11" fillId="0" borderId="3" xfId="1" applyFont="1" applyBorder="1" applyAlignment="1" applyProtection="1">
      <alignment vertical="center" wrapText="1"/>
      <protection hidden="1"/>
    </xf>
    <xf numFmtId="0" fontId="10" fillId="5" borderId="1" xfId="0" applyFont="1" applyFill="1" applyBorder="1" applyAlignment="1" applyProtection="1">
      <alignment horizontal="center" vertical="top" wrapText="1"/>
      <protection hidden="1"/>
    </xf>
    <xf numFmtId="0" fontId="10" fillId="5" borderId="1" xfId="0" applyFont="1" applyFill="1" applyBorder="1" applyAlignment="1" applyProtection="1">
      <alignment vertical="top" wrapText="1"/>
      <protection hidden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vertical="top" wrapText="1"/>
      <protection hidden="1"/>
    </xf>
    <xf numFmtId="0" fontId="0" fillId="3" borderId="4" xfId="0" applyFont="1" applyFill="1" applyBorder="1" applyAlignment="1" applyProtection="1">
      <protection hidden="1"/>
    </xf>
    <xf numFmtId="164" fontId="11" fillId="3" borderId="4" xfId="0" applyNumberFormat="1" applyFont="1" applyFill="1" applyBorder="1" applyAlignment="1" applyProtection="1">
      <protection hidden="1"/>
    </xf>
    <xf numFmtId="164" fontId="0" fillId="3" borderId="4" xfId="0" applyNumberFormat="1" applyFont="1" applyFill="1" applyBorder="1" applyAlignment="1" applyProtection="1">
      <protection hidden="1"/>
    </xf>
    <xf numFmtId="164" fontId="11" fillId="3" borderId="1" xfId="0" applyNumberFormat="1" applyFont="1" applyFill="1" applyBorder="1" applyAlignment="1" applyProtection="1">
      <alignment vertical="top" wrapText="1"/>
      <protection hidden="1"/>
    </xf>
    <xf numFmtId="0" fontId="9" fillId="4" borderId="1" xfId="0" applyFont="1" applyFill="1" applyBorder="1" applyAlignment="1" applyProtection="1">
      <alignment vertical="top" wrapText="1"/>
      <protection hidden="1"/>
    </xf>
    <xf numFmtId="164" fontId="9" fillId="4" borderId="1" xfId="0" applyNumberFormat="1" applyFont="1" applyFill="1" applyBorder="1" applyAlignment="1" applyProtection="1">
      <alignment horizontal="justify" vertical="center" wrapText="1"/>
      <protection hidden="1"/>
    </xf>
    <xf numFmtId="0" fontId="0" fillId="0" borderId="0" xfId="0" applyFont="1" applyBorder="1" applyAlignment="1">
      <alignment horizontal="center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 applyProtection="1">
      <alignment horizontal="center" vertical="top" wrapText="1"/>
      <protection hidden="1"/>
    </xf>
    <xf numFmtId="164" fontId="9" fillId="3" borderId="1" xfId="0" applyNumberFormat="1" applyFont="1" applyFill="1" applyBorder="1" applyAlignment="1" applyProtection="1">
      <alignment horizontal="justify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 applyProtection="1">
      <alignment horizontal="justify" vertical="center" wrapText="1"/>
      <protection hidden="1"/>
    </xf>
    <xf numFmtId="0" fontId="0" fillId="3" borderId="0" xfId="0" applyFill="1"/>
    <xf numFmtId="164" fontId="11" fillId="0" borderId="0" xfId="1" applyFont="1" applyBorder="1" applyAlignment="1" applyProtection="1">
      <alignment horizontal="center" vertical="top" wrapText="1"/>
      <protection hidden="1"/>
    </xf>
    <xf numFmtId="0" fontId="9" fillId="3" borderId="1" xfId="0" applyFont="1" applyFill="1" applyBorder="1" applyAlignment="1" applyProtection="1">
      <alignment horizontal="justify" vertical="center" wrapText="1"/>
      <protection hidden="1"/>
    </xf>
    <xf numFmtId="0" fontId="0" fillId="0" borderId="1" xfId="0" applyBorder="1"/>
    <xf numFmtId="0" fontId="0" fillId="0" borderId="0" xfId="0" applyBorder="1"/>
    <xf numFmtId="0" fontId="10" fillId="0" borderId="0" xfId="0" applyFont="1" applyBorder="1" applyAlignment="1" applyProtection="1">
      <alignment horizontal="center" vertical="top" wrapText="1"/>
      <protection hidden="1"/>
    </xf>
    <xf numFmtId="164" fontId="11" fillId="0" borderId="0" xfId="1" applyFont="1" applyBorder="1" applyAlignment="1" applyProtection="1">
      <alignment vertical="center" wrapText="1"/>
      <protection hidden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top" wrapText="1"/>
    </xf>
    <xf numFmtId="0" fontId="27" fillId="0" borderId="0" xfId="0" applyFont="1" applyAlignment="1">
      <alignment horizontal="justify" vertical="center"/>
    </xf>
    <xf numFmtId="0" fontId="12" fillId="0" borderId="1" xfId="0" applyFont="1" applyBorder="1" applyAlignment="1" applyProtection="1">
      <alignment vertical="top" wrapText="1"/>
      <protection hidden="1"/>
    </xf>
    <xf numFmtId="164" fontId="9" fillId="3" borderId="4" xfId="0" applyNumberFormat="1" applyFont="1" applyFill="1" applyBorder="1" applyAlignment="1" applyProtection="1">
      <alignment vertical="top" wrapText="1"/>
      <protection hidden="1"/>
    </xf>
    <xf numFmtId="0" fontId="11" fillId="5" borderId="1" xfId="0" applyFont="1" applyFill="1" applyBorder="1" applyAlignment="1" applyProtection="1">
      <alignment vertical="top" wrapText="1"/>
      <protection hidden="1"/>
    </xf>
    <xf numFmtId="0" fontId="22" fillId="0" borderId="4" xfId="0" applyFont="1" applyBorder="1" applyAlignment="1" applyProtection="1">
      <alignment vertical="top" wrapText="1"/>
      <protection hidden="1"/>
    </xf>
    <xf numFmtId="0" fontId="22" fillId="0" borderId="3" xfId="0" applyFont="1" applyBorder="1" applyAlignment="1" applyProtection="1">
      <alignment vertical="top" wrapText="1"/>
      <protection hidden="1"/>
    </xf>
    <xf numFmtId="0" fontId="22" fillId="0" borderId="2" xfId="0" applyFont="1" applyBorder="1" applyAlignment="1" applyProtection="1">
      <alignment vertical="top" wrapText="1"/>
      <protection hidden="1"/>
    </xf>
    <xf numFmtId="0" fontId="28" fillId="0" borderId="4" xfId="0" applyFont="1" applyBorder="1" applyAlignment="1" applyProtection="1">
      <alignment vertical="top" wrapText="1"/>
      <protection hidden="1"/>
    </xf>
    <xf numFmtId="0" fontId="28" fillId="0" borderId="2" xfId="0" applyFont="1" applyBorder="1" applyAlignment="1" applyProtection="1">
      <alignment vertical="top" wrapText="1"/>
      <protection hidden="1"/>
    </xf>
    <xf numFmtId="164" fontId="0" fillId="3" borderId="0" xfId="0" applyNumberFormat="1" applyFill="1"/>
    <xf numFmtId="0" fontId="10" fillId="0" borderId="0" xfId="0" applyFont="1" applyBorder="1" applyAlignment="1" applyProtection="1">
      <alignment vertical="top" wrapText="1"/>
      <protection hidden="1"/>
    </xf>
    <xf numFmtId="2" fontId="25" fillId="0" borderId="1" xfId="0" applyNumberFormat="1" applyFont="1" applyBorder="1" applyAlignment="1">
      <alignment horizontal="center" vertical="center" wrapText="1"/>
    </xf>
    <xf numFmtId="0" fontId="0" fillId="0" borderId="13" xfId="0" applyBorder="1"/>
    <xf numFmtId="164" fontId="9" fillId="0" borderId="0" xfId="0" applyNumberFormat="1" applyFont="1" applyBorder="1" applyAlignment="1" applyProtection="1">
      <alignment horizontal="justify" vertical="center" wrapText="1"/>
      <protection hidden="1"/>
    </xf>
    <xf numFmtId="0" fontId="9" fillId="0" borderId="0" xfId="0" applyFont="1" applyBorder="1" applyAlignment="1" applyProtection="1">
      <alignment vertical="top" wrapText="1"/>
      <protection hidden="1"/>
    </xf>
    <xf numFmtId="0" fontId="9" fillId="0" borderId="0" xfId="0" applyFont="1" applyBorder="1" applyAlignment="1" applyProtection="1">
      <alignment horizontal="center" vertical="top" wrapText="1"/>
      <protection hidden="1"/>
    </xf>
    <xf numFmtId="164" fontId="9" fillId="2" borderId="0" xfId="0" applyNumberFormat="1" applyFont="1" applyFill="1" applyBorder="1" applyAlignment="1" applyProtection="1">
      <alignment horizontal="justify" vertical="center" wrapText="1"/>
      <protection hidden="1"/>
    </xf>
    <xf numFmtId="0" fontId="9" fillId="0" borderId="0" xfId="0" applyFont="1" applyBorder="1" applyAlignment="1" applyProtection="1">
      <alignment horizontal="justify" vertical="top" wrapText="1"/>
      <protection hidden="1"/>
    </xf>
    <xf numFmtId="0" fontId="7" fillId="0" borderId="1" xfId="0" applyFont="1" applyBorder="1" applyProtection="1">
      <protection hidden="1"/>
    </xf>
    <xf numFmtId="0" fontId="9" fillId="3" borderId="1" xfId="0" applyFont="1" applyFill="1" applyBorder="1" applyAlignment="1" applyProtection="1">
      <alignment vertical="top"/>
      <protection hidden="1"/>
    </xf>
    <xf numFmtId="0" fontId="0" fillId="3" borderId="1" xfId="0" applyFill="1" applyBorder="1" applyAlignment="1" applyProtection="1">
      <alignment vertical="top"/>
      <protection hidden="1"/>
    </xf>
    <xf numFmtId="164" fontId="9" fillId="4" borderId="0" xfId="0" applyNumberFormat="1" applyFont="1" applyFill="1" applyBorder="1" applyAlignment="1" applyProtection="1">
      <alignment horizontal="justify" vertical="center" wrapText="1"/>
      <protection hidden="1"/>
    </xf>
    <xf numFmtId="0" fontId="9" fillId="4" borderId="0" xfId="0" applyFont="1" applyFill="1" applyBorder="1" applyAlignment="1" applyProtection="1">
      <alignment horizontal="justify" vertical="top" wrapText="1"/>
      <protection hidden="1"/>
    </xf>
    <xf numFmtId="164" fontId="11" fillId="0" borderId="0" xfId="1" applyFont="1" applyBorder="1" applyAlignment="1" applyProtection="1">
      <alignment vertical="top" wrapText="1"/>
      <protection hidden="1"/>
    </xf>
    <xf numFmtId="164" fontId="11" fillId="0" borderId="0" xfId="1" applyFont="1" applyBorder="1" applyAlignment="1" applyProtection="1">
      <alignment wrapText="1"/>
      <protection hidden="1"/>
    </xf>
    <xf numFmtId="0" fontId="0" fillId="0" borderId="0" xfId="0" applyFont="1" applyAlignment="1">
      <alignment vertical="top" wrapText="1"/>
    </xf>
    <xf numFmtId="0" fontId="0" fillId="0" borderId="0" xfId="0" applyBorder="1" applyAlignment="1">
      <alignment wrapText="1"/>
    </xf>
    <xf numFmtId="0" fontId="9" fillId="3" borderId="4" xfId="0" applyFont="1" applyFill="1" applyBorder="1" applyAlignment="1" applyProtection="1">
      <alignment vertical="top" wrapText="1"/>
      <protection hidden="1"/>
    </xf>
    <xf numFmtId="0" fontId="9" fillId="3" borderId="2" xfId="0" applyFont="1" applyFill="1" applyBorder="1" applyAlignment="1" applyProtection="1">
      <alignment vertical="top" wrapText="1"/>
      <protection hidden="1"/>
    </xf>
    <xf numFmtId="0" fontId="10" fillId="0" borderId="0" xfId="0" applyFont="1" applyAlignment="1">
      <alignment horizontal="justify" vertical="center"/>
    </xf>
    <xf numFmtId="0" fontId="7" fillId="0" borderId="1" xfId="0" applyFont="1" applyBorder="1" applyAlignment="1" applyProtection="1">
      <alignment horizontal="center" vertical="top" wrapText="1"/>
      <protection hidden="1"/>
    </xf>
    <xf numFmtId="164" fontId="7" fillId="0" borderId="1" xfId="0" applyNumberFormat="1" applyFont="1" applyBorder="1" applyAlignment="1" applyProtection="1">
      <alignment vertical="top" wrapText="1"/>
      <protection hidden="1"/>
    </xf>
    <xf numFmtId="0" fontId="22" fillId="0" borderId="1" xfId="0" applyFont="1" applyBorder="1" applyAlignment="1" applyProtection="1">
      <alignment vertical="top" wrapText="1"/>
      <protection hidden="1"/>
    </xf>
    <xf numFmtId="164" fontId="29" fillId="0" borderId="1" xfId="1" applyFont="1" applyBorder="1" applyAlignment="1" applyProtection="1">
      <alignment vertical="center" wrapText="1"/>
      <protection hidden="1"/>
    </xf>
    <xf numFmtId="164" fontId="29" fillId="0" borderId="1" xfId="1" applyFont="1" applyBorder="1" applyAlignment="1" applyProtection="1">
      <alignment horizontal="right" vertical="top" wrapText="1"/>
      <protection hidden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right" vertical="top" wrapText="1"/>
    </xf>
    <xf numFmtId="0" fontId="7" fillId="0" borderId="0" xfId="0" applyFont="1" applyAlignment="1" applyProtection="1">
      <alignment wrapText="1"/>
      <protection hidden="1"/>
    </xf>
    <xf numFmtId="0" fontId="7" fillId="3" borderId="1" xfId="0" applyFont="1" applyFill="1" applyBorder="1" applyAlignment="1" applyProtection="1">
      <alignment vertical="center" wrapText="1"/>
      <protection hidden="1"/>
    </xf>
    <xf numFmtId="164" fontId="0" fillId="0" borderId="0" xfId="0" applyNumberFormat="1"/>
    <xf numFmtId="0" fontId="7" fillId="0" borderId="0" xfId="0" applyFont="1" applyBorder="1" applyAlignment="1">
      <alignment horizontal="center"/>
    </xf>
    <xf numFmtId="0" fontId="0" fillId="5" borderId="0" xfId="0" applyFont="1" applyFill="1"/>
    <xf numFmtId="0" fontId="0" fillId="6" borderId="0" xfId="0" applyFont="1" applyFill="1"/>
    <xf numFmtId="0" fontId="10" fillId="0" borderId="1" xfId="0" applyFont="1" applyBorder="1" applyAlignment="1" applyProtection="1">
      <alignment horizontal="center" vertical="top" wrapText="1"/>
      <protection hidden="1"/>
    </xf>
    <xf numFmtId="0" fontId="0" fillId="0" borderId="0" xfId="0" applyAlignment="1">
      <alignment wrapText="1"/>
    </xf>
    <xf numFmtId="0" fontId="10" fillId="0" borderId="1" xfId="0" applyFont="1" applyBorder="1" applyAlignment="1" applyProtection="1">
      <alignment horizontal="center" vertical="top" wrapText="1"/>
      <protection hidden="1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8" fillId="5" borderId="1" xfId="0" applyFont="1" applyFill="1" applyBorder="1" applyAlignment="1">
      <alignment horizontal="center" vertical="top" wrapText="1"/>
    </xf>
    <xf numFmtId="0" fontId="18" fillId="5" borderId="1" xfId="0" applyFont="1" applyFill="1" applyBorder="1" applyAlignment="1">
      <alignment horizontal="center" vertical="top"/>
    </xf>
    <xf numFmtId="49" fontId="13" fillId="5" borderId="5" xfId="0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 applyProtection="1">
      <alignment horizontal="center" vertical="top" wrapText="1"/>
      <protection hidden="1"/>
    </xf>
    <xf numFmtId="2" fontId="14" fillId="0" borderId="6" xfId="0" applyNumberFormat="1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top" wrapText="1"/>
      <protection hidden="1"/>
    </xf>
    <xf numFmtId="0" fontId="10" fillId="0" borderId="1" xfId="0" applyFont="1" applyBorder="1" applyAlignment="1" applyProtection="1">
      <alignment horizontal="center" vertical="top" wrapText="1"/>
      <protection hidden="1"/>
    </xf>
    <xf numFmtId="164" fontId="11" fillId="0" borderId="1" xfId="1" applyFont="1" applyBorder="1" applyAlignment="1" applyProtection="1">
      <alignment horizontal="center" vertical="center" wrapText="1"/>
      <protection hidden="1"/>
    </xf>
    <xf numFmtId="0" fontId="25" fillId="0" borderId="1" xfId="0" applyFont="1" applyBorder="1" applyAlignment="1">
      <alignment horizontal="center" vertical="center" wrapText="1"/>
    </xf>
    <xf numFmtId="0" fontId="22" fillId="0" borderId="4" xfId="0" applyFont="1" applyBorder="1" applyAlignment="1" applyProtection="1">
      <alignment horizontal="center" vertical="top" wrapText="1"/>
      <protection hidden="1"/>
    </xf>
    <xf numFmtId="0" fontId="22" fillId="0" borderId="2" xfId="0" applyFont="1" applyBorder="1" applyAlignment="1" applyProtection="1">
      <alignment horizontal="center" vertical="top" wrapText="1"/>
      <protection hidden="1"/>
    </xf>
    <xf numFmtId="0" fontId="20" fillId="2" borderId="1" xfId="0" applyFont="1" applyFill="1" applyBorder="1" applyAlignment="1" applyProtection="1">
      <alignment horizontal="center" vertical="center" wrapText="1"/>
      <protection hidden="1"/>
    </xf>
    <xf numFmtId="0" fontId="22" fillId="0" borderId="9" xfId="0" applyFont="1" applyBorder="1" applyAlignment="1" applyProtection="1">
      <alignment horizontal="center" vertical="top" wrapText="1"/>
      <protection hidden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/>
    </xf>
    <xf numFmtId="49" fontId="13" fillId="0" borderId="6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top" wrapText="1"/>
      <protection hidden="1"/>
    </xf>
    <xf numFmtId="0" fontId="20" fillId="0" borderId="1" xfId="0" applyFont="1" applyBorder="1" applyAlignment="1" applyProtection="1">
      <alignment horizontal="center" vertical="center" wrapText="1"/>
      <protection hidden="1"/>
    </xf>
    <xf numFmtId="0" fontId="18" fillId="5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454545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21"/>
  <sheetViews>
    <sheetView view="pageBreakPreview" zoomScale="70" zoomScaleNormal="70" zoomScalePageLayoutView="70" workbookViewId="0">
      <selection activeCell="E2" sqref="E2"/>
    </sheetView>
  </sheetViews>
  <sheetFormatPr defaultColWidth="8.88671875" defaultRowHeight="14.4"/>
  <cols>
    <col min="1" max="1" width="8.88671875" style="1"/>
    <col min="2" max="2" width="39.5546875" style="1" customWidth="1"/>
    <col min="3" max="6" width="8.88671875" style="1"/>
    <col min="7" max="7" width="12.6640625" style="1" customWidth="1"/>
    <col min="8" max="1024" width="8.88671875" style="1"/>
  </cols>
  <sheetData>
    <row r="1" spans="1:15" ht="31.2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ht="32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31.2">
      <c r="A3" s="134" t="s">
        <v>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5" ht="21">
      <c r="E4" s="3" t="s">
        <v>2</v>
      </c>
      <c r="F4" s="3"/>
    </row>
    <row r="6" spans="1:15" ht="20.399999999999999">
      <c r="A6" s="133" t="s">
        <v>3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</row>
    <row r="7" spans="1:15" ht="20.399999999999999">
      <c r="A7" s="133" t="s">
        <v>4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</row>
    <row r="8" spans="1:15" ht="20.399999999999999">
      <c r="A8" s="133" t="s">
        <v>5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</row>
    <row r="9" spans="1:15" ht="20.399999999999999">
      <c r="A9" s="133" t="s">
        <v>6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</row>
    <row r="10" spans="1:15" ht="20.399999999999999">
      <c r="A10" s="133" t="s">
        <v>7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</row>
    <row r="11" spans="1:15" ht="20.399999999999999">
      <c r="A11" s="133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</row>
    <row r="12" spans="1:15" ht="21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21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21">
      <c r="A14" s="132" t="s">
        <v>8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</row>
    <row r="15" spans="1:15" ht="21">
      <c r="A15" s="132" t="s">
        <v>9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</row>
    <row r="16" spans="1:15" ht="21">
      <c r="A16" s="132" t="s">
        <v>10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</row>
    <row r="17" spans="1:15" ht="21">
      <c r="A17" s="132" t="s">
        <v>11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</row>
    <row r="18" spans="1:15" ht="21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21">
      <c r="A19" s="132" t="s">
        <v>12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spans="1:15" ht="21">
      <c r="A20" s="132" t="s">
        <v>13</v>
      </c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</row>
    <row r="21" spans="1:15" ht="18">
      <c r="A21" s="7"/>
    </row>
  </sheetData>
  <mergeCells count="14">
    <mergeCell ref="A1:O1"/>
    <mergeCell ref="A3:O3"/>
    <mergeCell ref="A6:O6"/>
    <mergeCell ref="A7:O7"/>
    <mergeCell ref="A8:O8"/>
    <mergeCell ref="A16:O16"/>
    <mergeCell ref="A17:O17"/>
    <mergeCell ref="A19:O19"/>
    <mergeCell ref="A20:O20"/>
    <mergeCell ref="A9:O9"/>
    <mergeCell ref="A10:O10"/>
    <mergeCell ref="A11:O11"/>
    <mergeCell ref="A14:O14"/>
    <mergeCell ref="A15:O15"/>
  </mergeCells>
  <printOptions horizontalCentered="1" verticalCentered="1"/>
  <pageMargins left="0.70833333333333304" right="0.70833333333333304" top="0.43333333333333302" bottom="0.63055555555555598" header="0.51180555555555496" footer="0.31527777777777799"/>
  <pageSetup paperSize="9" scale="78" firstPageNumber="0" orientation="landscape" horizontalDpi="300" verticalDpi="300" r:id="rId1"/>
  <headerFooter>
    <oddFooter>&amp;CМухина Анастасия Викторовна, ГБПОУ "Тверской колледж сервиса и туризма"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S69"/>
  <sheetViews>
    <sheetView view="pageBreakPreview" zoomScale="90" zoomScalePageLayoutView="90" workbookViewId="0">
      <selection activeCell="A25" sqref="A25:O25"/>
    </sheetView>
  </sheetViews>
  <sheetFormatPr defaultColWidth="8.6640625" defaultRowHeight="14.4"/>
  <cols>
    <col min="1" max="1" width="12.109375" customWidth="1"/>
    <col min="2" max="2" width="38.5546875" customWidth="1"/>
    <col min="7" max="7" width="10.33203125" customWidth="1"/>
    <col min="8" max="8" width="11.44140625" customWidth="1"/>
    <col min="9" max="9" width="11.109375" customWidth="1"/>
    <col min="12" max="12" width="10.109375" customWidth="1"/>
    <col min="13" max="13" width="9.33203125" customWidth="1"/>
  </cols>
  <sheetData>
    <row r="1" spans="1:19" ht="15.6">
      <c r="A1" s="42" t="s">
        <v>14</v>
      </c>
      <c r="B1" s="43" t="s">
        <v>125</v>
      </c>
    </row>
    <row r="2" spans="1:19" ht="15.6">
      <c r="A2" s="42" t="s">
        <v>16</v>
      </c>
      <c r="B2" s="43" t="s">
        <v>140</v>
      </c>
    </row>
    <row r="3" spans="1:19" ht="15.6">
      <c r="A3" s="42" t="s">
        <v>18</v>
      </c>
      <c r="B3" s="43" t="s">
        <v>19</v>
      </c>
    </row>
    <row r="4" spans="1:19" ht="46.8">
      <c r="A4" s="42" t="s">
        <v>20</v>
      </c>
      <c r="B4" s="130" t="s">
        <v>161</v>
      </c>
    </row>
    <row r="5" spans="1:19" ht="15.75" customHeight="1">
      <c r="A5" s="150" t="s">
        <v>21</v>
      </c>
      <c r="B5" s="150" t="s">
        <v>22</v>
      </c>
      <c r="C5" s="150" t="s">
        <v>23</v>
      </c>
      <c r="D5" s="150" t="s">
        <v>24</v>
      </c>
      <c r="E5" s="150"/>
      <c r="F5" s="150"/>
      <c r="G5" s="150" t="s">
        <v>25</v>
      </c>
      <c r="H5" s="150" t="s">
        <v>26</v>
      </c>
      <c r="I5" s="150"/>
      <c r="J5" s="150"/>
      <c r="K5" s="150"/>
      <c r="L5" s="150" t="s">
        <v>27</v>
      </c>
      <c r="M5" s="150"/>
      <c r="N5" s="150"/>
      <c r="O5" s="150"/>
    </row>
    <row r="6" spans="1:19" ht="15.6">
      <c r="A6" s="150"/>
      <c r="B6" s="150"/>
      <c r="C6" s="150"/>
      <c r="D6" s="44" t="s">
        <v>28</v>
      </c>
      <c r="E6" s="44" t="s">
        <v>29</v>
      </c>
      <c r="F6" s="44" t="s">
        <v>30</v>
      </c>
      <c r="G6" s="150"/>
      <c r="H6" s="44" t="s">
        <v>117</v>
      </c>
      <c r="I6" s="44" t="s">
        <v>32</v>
      </c>
      <c r="J6" s="44" t="s">
        <v>33</v>
      </c>
      <c r="K6" s="44" t="s">
        <v>34</v>
      </c>
      <c r="L6" s="44" t="s">
        <v>35</v>
      </c>
      <c r="M6" s="44" t="s">
        <v>36</v>
      </c>
      <c r="N6" s="44" t="s">
        <v>37</v>
      </c>
      <c r="O6" s="44" t="s">
        <v>38</v>
      </c>
    </row>
    <row r="7" spans="1:19" s="46" customFormat="1" ht="16.2" customHeight="1">
      <c r="A7" s="156" t="s">
        <v>39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</row>
    <row r="8" spans="1:19" ht="27.6">
      <c r="A8" s="145">
        <v>182</v>
      </c>
      <c r="B8" s="60" t="s">
        <v>126</v>
      </c>
      <c r="C8" s="12">
        <v>250</v>
      </c>
      <c r="D8" s="14">
        <v>7.51</v>
      </c>
      <c r="E8" s="14">
        <v>11.72</v>
      </c>
      <c r="F8" s="14">
        <v>37.049999999999997</v>
      </c>
      <c r="G8" s="14">
        <v>285</v>
      </c>
      <c r="H8" s="14"/>
      <c r="I8" s="14">
        <v>1.17</v>
      </c>
      <c r="J8" s="14"/>
      <c r="K8" s="14"/>
      <c r="L8" s="14">
        <v>138.1</v>
      </c>
      <c r="M8" s="14"/>
      <c r="N8" s="14">
        <v>47.6</v>
      </c>
      <c r="O8" s="14">
        <v>1.23</v>
      </c>
    </row>
    <row r="9" spans="1:19">
      <c r="A9" s="145"/>
      <c r="B9" s="13"/>
      <c r="C9" s="12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</row>
    <row r="10" spans="1:19" s="1" customFormat="1">
      <c r="A10" s="145">
        <v>8</v>
      </c>
      <c r="B10" s="13" t="s">
        <v>108</v>
      </c>
      <c r="C10" s="47">
        <v>60</v>
      </c>
      <c r="D10" s="48">
        <v>8.61</v>
      </c>
      <c r="E10" s="48">
        <v>15.67</v>
      </c>
      <c r="F10" s="48">
        <v>17.7</v>
      </c>
      <c r="G10" s="48">
        <v>240.8</v>
      </c>
      <c r="H10" s="48">
        <v>0.05</v>
      </c>
      <c r="I10" s="48"/>
      <c r="J10" s="48"/>
      <c r="K10" s="48">
        <v>0.02</v>
      </c>
      <c r="L10" s="48">
        <v>9.1</v>
      </c>
      <c r="M10" s="48">
        <v>73.2</v>
      </c>
      <c r="N10" s="48">
        <v>15.9</v>
      </c>
      <c r="O10" s="48">
        <v>0.99</v>
      </c>
      <c r="P10" s="49"/>
      <c r="Q10" s="49"/>
      <c r="R10" s="49"/>
      <c r="S10" s="49"/>
    </row>
    <row r="11" spans="1:19" s="46" customFormat="1" ht="13.8">
      <c r="A11" s="145"/>
      <c r="B11" s="15" t="s">
        <v>109</v>
      </c>
      <c r="C11" s="48">
        <v>40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50"/>
      <c r="Q11" s="50"/>
      <c r="R11" s="51"/>
      <c r="S11" s="51"/>
    </row>
    <row r="12" spans="1:19" s="46" customFormat="1" ht="13.8">
      <c r="A12" s="145"/>
      <c r="B12" s="15" t="s">
        <v>110</v>
      </c>
      <c r="C12" s="48">
        <v>20</v>
      </c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50"/>
      <c r="Q12" s="50"/>
      <c r="R12" s="51"/>
      <c r="S12" s="51"/>
    </row>
    <row r="13" spans="1:19" s="8" customFormat="1" ht="13.8">
      <c r="A13" s="145"/>
      <c r="B13" s="52"/>
      <c r="C13" s="48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50"/>
      <c r="Q13" s="50"/>
      <c r="R13" s="53"/>
      <c r="S13" s="53"/>
    </row>
    <row r="14" spans="1:19">
      <c r="A14" s="12">
        <v>379</v>
      </c>
      <c r="B14" s="13" t="s">
        <v>120</v>
      </c>
      <c r="C14" s="12">
        <v>200</v>
      </c>
      <c r="D14" s="14">
        <f>15.83/5</f>
        <v>3.1659999999999999</v>
      </c>
      <c r="E14" s="14">
        <f>13.39/5</f>
        <v>2.6779999999999999</v>
      </c>
      <c r="F14" s="14">
        <f>79.73/5</f>
        <v>15.946000000000002</v>
      </c>
      <c r="G14" s="14">
        <f>503/5</f>
        <v>100.6</v>
      </c>
      <c r="H14" s="14"/>
      <c r="I14" s="14">
        <f>6.5/5</f>
        <v>1.3</v>
      </c>
      <c r="J14" s="14"/>
      <c r="K14" s="14"/>
      <c r="L14" s="14">
        <f>628.9/5</f>
        <v>125.78</v>
      </c>
      <c r="M14" s="14"/>
      <c r="N14" s="14">
        <f>70/5</f>
        <v>14</v>
      </c>
      <c r="O14" s="14">
        <f>0.67/5</f>
        <v>0.13400000000000001</v>
      </c>
      <c r="P14" s="81"/>
      <c r="Q14" s="81"/>
      <c r="R14" s="81"/>
    </row>
    <row r="15" spans="1:19" s="46" customFormat="1" ht="16.2" customHeight="1">
      <c r="A15" s="17" t="s">
        <v>46</v>
      </c>
      <c r="B15" s="18"/>
      <c r="C15" s="18">
        <v>510</v>
      </c>
      <c r="D15" s="74">
        <f>SUM(D8:D14)</f>
        <v>19.285999999999998</v>
      </c>
      <c r="E15" s="74">
        <f>SUM(E8:E14)</f>
        <v>30.068000000000001</v>
      </c>
      <c r="F15" s="74">
        <f>SUM(F8:F14)</f>
        <v>70.695999999999998</v>
      </c>
      <c r="G15" s="74">
        <f>SUM(G8:G14)</f>
        <v>626.4</v>
      </c>
      <c r="H15" s="74">
        <v>0.05</v>
      </c>
      <c r="I15" s="74">
        <v>2.4700000000000002</v>
      </c>
      <c r="J15" s="74"/>
      <c r="K15" s="74">
        <v>0.02</v>
      </c>
      <c r="L15" s="74">
        <v>272.98</v>
      </c>
      <c r="M15" s="74">
        <v>73.2</v>
      </c>
      <c r="N15" s="74">
        <v>77.5</v>
      </c>
      <c r="O15" s="74">
        <v>2.35</v>
      </c>
      <c r="P15" s="51"/>
      <c r="Q15" s="51"/>
      <c r="R15" s="51"/>
    </row>
    <row r="16" spans="1:19" s="46" customFormat="1" ht="16.2" customHeight="1">
      <c r="A16" s="156" t="s">
        <v>154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</row>
    <row r="17" spans="1:15">
      <c r="A17" s="12"/>
      <c r="B17" s="13"/>
      <c r="C17" s="1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s="46" customFormat="1" ht="13.8">
      <c r="A18" s="12">
        <v>101</v>
      </c>
      <c r="B18" s="13" t="s">
        <v>155</v>
      </c>
      <c r="C18" s="12">
        <v>250</v>
      </c>
      <c r="D18" s="14">
        <v>9.8800000000000008</v>
      </c>
      <c r="E18" s="14">
        <v>7.25</v>
      </c>
      <c r="F18" s="14">
        <v>24.05</v>
      </c>
      <c r="G18" s="14">
        <v>201.75</v>
      </c>
      <c r="H18" s="14"/>
      <c r="I18" s="14">
        <v>5.83</v>
      </c>
      <c r="J18" s="14"/>
      <c r="K18" s="14"/>
      <c r="L18" s="14">
        <v>43.23</v>
      </c>
      <c r="M18" s="14"/>
      <c r="N18" s="14">
        <v>38.25</v>
      </c>
      <c r="O18" s="14">
        <v>1.83</v>
      </c>
    </row>
    <row r="19" spans="1:15" s="8" customFormat="1" ht="27.6">
      <c r="A19" s="12">
        <v>234</v>
      </c>
      <c r="B19" s="13" t="s">
        <v>112</v>
      </c>
      <c r="C19" s="12">
        <v>100</v>
      </c>
      <c r="D19" s="14">
        <v>13.98</v>
      </c>
      <c r="E19" s="14">
        <v>11.42</v>
      </c>
      <c r="F19" s="14">
        <f>9.97*2</f>
        <v>19.940000000000001</v>
      </c>
      <c r="G19" s="14">
        <f>120*2</f>
        <v>240</v>
      </c>
      <c r="H19" s="14"/>
      <c r="I19" s="14">
        <f>0.88*2</f>
        <v>1.76</v>
      </c>
      <c r="J19" s="14"/>
      <c r="K19" s="14"/>
      <c r="L19" s="14">
        <f>40.92*2</f>
        <v>81.84</v>
      </c>
      <c r="M19" s="14"/>
      <c r="N19" s="14">
        <f>27.56*2</f>
        <v>55.12</v>
      </c>
      <c r="O19" s="14">
        <f>0.77*2</f>
        <v>1.54</v>
      </c>
    </row>
    <row r="20" spans="1:15">
      <c r="A20" s="12">
        <v>139</v>
      </c>
      <c r="B20" s="13" t="s">
        <v>123</v>
      </c>
      <c r="C20" s="12">
        <v>200</v>
      </c>
      <c r="D20" s="14">
        <v>2.04</v>
      </c>
      <c r="E20" s="14">
        <v>3.68</v>
      </c>
      <c r="F20" s="14">
        <v>7.89</v>
      </c>
      <c r="G20" s="14">
        <v>77</v>
      </c>
      <c r="H20" s="14"/>
      <c r="I20" s="14">
        <v>17.079999999999998</v>
      </c>
      <c r="J20" s="14"/>
      <c r="K20" s="14"/>
      <c r="L20" s="14">
        <v>58.75</v>
      </c>
      <c r="M20" s="14"/>
      <c r="N20" s="14">
        <v>40.69</v>
      </c>
      <c r="O20" s="14">
        <v>20.85</v>
      </c>
    </row>
    <row r="21" spans="1:15">
      <c r="A21" s="15">
        <v>701</v>
      </c>
      <c r="B21" s="13" t="s">
        <v>52</v>
      </c>
      <c r="C21" s="12">
        <v>40</v>
      </c>
      <c r="D21" s="14">
        <v>3.8</v>
      </c>
      <c r="E21" s="14">
        <v>0.45</v>
      </c>
      <c r="F21" s="14">
        <v>23.35</v>
      </c>
      <c r="G21" s="14">
        <v>114.6</v>
      </c>
      <c r="H21" s="14">
        <v>0.05</v>
      </c>
      <c r="I21" s="14"/>
      <c r="J21" s="14"/>
      <c r="K21" s="14"/>
      <c r="L21" s="14">
        <v>9.3000000000000007</v>
      </c>
      <c r="M21" s="14"/>
      <c r="N21" s="14"/>
      <c r="O21" s="14">
        <v>0.62</v>
      </c>
    </row>
    <row r="22" spans="1:15">
      <c r="A22" s="12">
        <v>389</v>
      </c>
      <c r="B22" s="13" t="s">
        <v>124</v>
      </c>
      <c r="C22" s="61">
        <v>200</v>
      </c>
      <c r="D22" s="62">
        <f>1</f>
        <v>1</v>
      </c>
      <c r="E22" s="61">
        <v>0</v>
      </c>
      <c r="F22" s="62">
        <f>101/5</f>
        <v>20.2</v>
      </c>
      <c r="G22" s="61">
        <f>424/5</f>
        <v>84.8</v>
      </c>
      <c r="H22" s="62"/>
      <c r="I22" s="61">
        <f>30/5</f>
        <v>6</v>
      </c>
      <c r="J22" s="62"/>
      <c r="K22" s="61"/>
      <c r="L22" s="62">
        <f>70/5</f>
        <v>14</v>
      </c>
      <c r="M22" s="61"/>
      <c r="N22" s="62">
        <f>40/5</f>
        <v>8</v>
      </c>
      <c r="O22" s="63">
        <f>14/5</f>
        <v>2.8</v>
      </c>
    </row>
    <row r="23" spans="1:15">
      <c r="A23" s="15">
        <v>701</v>
      </c>
      <c r="B23" s="13" t="s">
        <v>42</v>
      </c>
      <c r="C23" s="12">
        <v>40</v>
      </c>
      <c r="D23" s="14">
        <v>3.04</v>
      </c>
      <c r="E23" s="14">
        <v>0.36</v>
      </c>
      <c r="F23" s="14">
        <v>18.68</v>
      </c>
      <c r="G23" s="14">
        <v>85.44</v>
      </c>
      <c r="H23" s="14">
        <v>0.05</v>
      </c>
      <c r="I23" s="14"/>
      <c r="J23" s="14"/>
      <c r="K23" s="14"/>
      <c r="L23" s="14">
        <v>9.3000000000000007</v>
      </c>
      <c r="M23" s="14"/>
      <c r="N23" s="14"/>
      <c r="O23" s="14">
        <v>0.62</v>
      </c>
    </row>
    <row r="24" spans="1:15" s="46" customFormat="1" ht="16.2" customHeight="1">
      <c r="A24" s="17" t="s">
        <v>46</v>
      </c>
      <c r="B24" s="18"/>
      <c r="C24" s="18">
        <v>790</v>
      </c>
      <c r="D24" s="74">
        <f>SUM(D17:D23)</f>
        <v>33.74</v>
      </c>
      <c r="E24" s="74">
        <f>SUM(E17:E23)</f>
        <v>23.16</v>
      </c>
      <c r="F24" s="74">
        <f>SUM(F17:F23)</f>
        <v>114.11000000000001</v>
      </c>
      <c r="G24" s="74">
        <f>SUM(G17:G23)</f>
        <v>803.58999999999992</v>
      </c>
      <c r="H24" s="74">
        <v>0.05</v>
      </c>
      <c r="I24" s="74">
        <v>30.67</v>
      </c>
      <c r="J24" s="74"/>
      <c r="K24" s="74"/>
      <c r="L24" s="74">
        <v>216.42</v>
      </c>
      <c r="M24" s="74"/>
      <c r="N24" s="74">
        <v>142.06</v>
      </c>
      <c r="O24" s="74">
        <v>28.26</v>
      </c>
    </row>
    <row r="25" spans="1:15" s="46" customFormat="1" ht="16.2" customHeight="1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</row>
    <row r="26" spans="1:15" s="26" customFormat="1" ht="13.8">
      <c r="A26" s="22"/>
      <c r="B26" s="23"/>
      <c r="C26" s="22"/>
      <c r="D26" s="24"/>
      <c r="E26" s="25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>
      <c r="A27" s="12"/>
      <c r="B27" s="13"/>
      <c r="C27" s="12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>
      <c r="A28" s="12"/>
      <c r="B28" s="13"/>
      <c r="C28" s="12"/>
      <c r="D28" s="14"/>
      <c r="E28" s="14"/>
      <c r="F28" s="14"/>
      <c r="G28" s="14"/>
      <c r="H28" s="80"/>
      <c r="I28" s="14"/>
      <c r="J28" s="14"/>
      <c r="K28" s="14"/>
      <c r="L28" s="14"/>
      <c r="M28" s="14"/>
      <c r="N28" s="14"/>
      <c r="O28" s="14"/>
    </row>
    <row r="29" spans="1:15" s="46" customFormat="1" ht="16.2" customHeight="1">
      <c r="A29" s="17" t="s">
        <v>46</v>
      </c>
      <c r="B29" s="17"/>
      <c r="C29" s="17"/>
      <c r="D29" s="74">
        <f>SUM(D26:D28)</f>
        <v>0</v>
      </c>
      <c r="E29" s="74">
        <f>SUM(E26:E28)</f>
        <v>0</v>
      </c>
      <c r="F29" s="74">
        <f>SUM(F26:F28)</f>
        <v>0</v>
      </c>
      <c r="G29" s="74">
        <f>SUM(G26:G28)</f>
        <v>0</v>
      </c>
      <c r="H29" s="74"/>
      <c r="I29" s="74"/>
      <c r="J29" s="74"/>
      <c r="K29" s="74"/>
      <c r="L29" s="74"/>
      <c r="M29" s="74"/>
      <c r="N29" s="74"/>
      <c r="O29" s="74"/>
    </row>
    <row r="30" spans="1:15" s="46" customFormat="1" ht="16.2" customHeight="1">
      <c r="A30" s="17" t="s">
        <v>55</v>
      </c>
      <c r="B30" s="18"/>
      <c r="C30" s="18">
        <v>1300</v>
      </c>
      <c r="D30" s="21">
        <f>SUM(D8:D14)+SUM(D17:D23)+SUM(D26:D28)</f>
        <v>53.025999999999996</v>
      </c>
      <c r="E30" s="21">
        <f>SUM(E8:E14)+SUM(E17:E23)+SUM(E26:E28)</f>
        <v>53.228000000000002</v>
      </c>
      <c r="F30" s="21">
        <f>SUM(F8:F14)+SUM(F17:F23)+SUM(F26:F28)</f>
        <v>184.80600000000001</v>
      </c>
      <c r="G30" s="21">
        <f>SUM(G8:G14)+SUM(G17:G23)+SUM(G26:G28)</f>
        <v>1429.9899999999998</v>
      </c>
      <c r="H30" s="74">
        <v>0.1</v>
      </c>
      <c r="I30" s="74">
        <v>33.14</v>
      </c>
      <c r="J30" s="74"/>
      <c r="K30" s="74">
        <v>0.02</v>
      </c>
      <c r="L30" s="74">
        <v>489.4</v>
      </c>
      <c r="M30" s="74">
        <v>73.2</v>
      </c>
      <c r="N30" s="74">
        <v>219.56</v>
      </c>
      <c r="O30" s="74">
        <v>30.61</v>
      </c>
    </row>
    <row r="32" spans="1:15" ht="26.25" customHeight="1">
      <c r="B32" s="137" t="s">
        <v>56</v>
      </c>
      <c r="C32" s="137"/>
      <c r="D32" s="137"/>
      <c r="E32" s="137"/>
      <c r="F32" s="142" t="s">
        <v>57</v>
      </c>
      <c r="G32" s="142"/>
      <c r="H32" s="142"/>
      <c r="I32" s="31" t="s">
        <v>58</v>
      </c>
    </row>
    <row r="33" spans="2:12">
      <c r="B33" s="137"/>
      <c r="C33" s="137"/>
      <c r="D33" s="137"/>
      <c r="E33" s="137"/>
      <c r="F33" s="30" t="s">
        <v>28</v>
      </c>
      <c r="G33" s="30" t="s">
        <v>29</v>
      </c>
      <c r="H33" s="30" t="s">
        <v>30</v>
      </c>
      <c r="I33" s="32"/>
    </row>
    <row r="34" spans="2:12" ht="15.75" customHeight="1">
      <c r="B34" s="137" t="s">
        <v>59</v>
      </c>
      <c r="C34" s="137"/>
      <c r="D34" s="137"/>
      <c r="E34" s="137"/>
      <c r="F34" s="30" t="s">
        <v>60</v>
      </c>
      <c r="G34" s="30" t="s">
        <v>61</v>
      </c>
      <c r="H34" s="30" t="s">
        <v>62</v>
      </c>
      <c r="I34" s="30" t="s">
        <v>63</v>
      </c>
    </row>
    <row r="35" spans="2:12" ht="15.75" customHeight="1">
      <c r="B35" s="137" t="s">
        <v>64</v>
      </c>
      <c r="C35" s="137"/>
      <c r="D35" s="137"/>
      <c r="E35" s="137"/>
      <c r="F35" s="33">
        <f>D30</f>
        <v>53.025999999999996</v>
      </c>
      <c r="G35" s="33">
        <f>E30</f>
        <v>53.228000000000002</v>
      </c>
      <c r="H35" s="33">
        <f>F30</f>
        <v>184.80600000000001</v>
      </c>
      <c r="I35" s="33">
        <f>G30</f>
        <v>1429.9899999999998</v>
      </c>
    </row>
    <row r="37" spans="2:12" ht="35.25" customHeight="1">
      <c r="B37" s="138" t="s">
        <v>66</v>
      </c>
      <c r="C37" s="138"/>
      <c r="D37" s="138"/>
      <c r="E37" s="138"/>
      <c r="F37" s="138"/>
      <c r="G37" s="138"/>
      <c r="H37" s="138"/>
    </row>
    <row r="38" spans="2:12" ht="31.5" customHeight="1">
      <c r="B38" s="36" t="s">
        <v>67</v>
      </c>
      <c r="C38" s="139" t="s">
        <v>68</v>
      </c>
      <c r="D38" s="139"/>
      <c r="E38" s="139"/>
      <c r="F38" s="139"/>
      <c r="G38" s="140" t="s">
        <v>69</v>
      </c>
      <c r="H38" s="140"/>
      <c r="K38" s="42" t="s">
        <v>14</v>
      </c>
      <c r="L38" s="43" t="s">
        <v>125</v>
      </c>
    </row>
    <row r="39" spans="2:12" ht="31.5" customHeight="1">
      <c r="B39" s="139"/>
      <c r="C39" s="139" t="s">
        <v>70</v>
      </c>
      <c r="D39" s="139"/>
      <c r="E39" s="139" t="s">
        <v>71</v>
      </c>
      <c r="F39" s="139"/>
      <c r="G39" s="36" t="s">
        <v>70</v>
      </c>
      <c r="H39" s="36" t="s">
        <v>71</v>
      </c>
      <c r="K39" s="42" t="s">
        <v>16</v>
      </c>
      <c r="L39" s="43" t="s">
        <v>140</v>
      </c>
    </row>
    <row r="40" spans="2:12" ht="30" customHeight="1">
      <c r="B40" s="139"/>
      <c r="C40" s="139" t="s">
        <v>72</v>
      </c>
      <c r="D40" s="139"/>
      <c r="E40" s="139" t="s">
        <v>72</v>
      </c>
      <c r="F40" s="139"/>
      <c r="G40" s="36" t="s">
        <v>72</v>
      </c>
      <c r="H40" s="36" t="s">
        <v>72</v>
      </c>
      <c r="K40" s="42" t="s">
        <v>18</v>
      </c>
      <c r="L40" s="43" t="s">
        <v>19</v>
      </c>
    </row>
    <row r="41" spans="2:12" ht="62.4">
      <c r="B41" s="38" t="s">
        <v>73</v>
      </c>
      <c r="C41" s="135">
        <v>80</v>
      </c>
      <c r="D41" s="135"/>
      <c r="E41" s="135">
        <v>80</v>
      </c>
      <c r="F41" s="135"/>
      <c r="G41" s="39">
        <v>40</v>
      </c>
      <c r="H41" s="39">
        <v>40</v>
      </c>
      <c r="K41" s="42" t="s">
        <v>20</v>
      </c>
      <c r="L41" s="43" t="s">
        <v>65</v>
      </c>
    </row>
    <row r="42" spans="2:12">
      <c r="B42" s="38" t="s">
        <v>42</v>
      </c>
      <c r="C42" s="135">
        <v>150</v>
      </c>
      <c r="D42" s="135"/>
      <c r="E42" s="135">
        <v>150</v>
      </c>
      <c r="F42" s="135"/>
      <c r="G42" s="39">
        <f>18+10+50+40</f>
        <v>118</v>
      </c>
      <c r="H42" s="39">
        <v>118</v>
      </c>
    </row>
    <row r="43" spans="2:12">
      <c r="B43" s="38" t="s">
        <v>74</v>
      </c>
      <c r="C43" s="135">
        <v>15</v>
      </c>
      <c r="D43" s="135"/>
      <c r="E43" s="135">
        <v>15</v>
      </c>
      <c r="F43" s="135"/>
      <c r="G43" s="39">
        <v>9.6</v>
      </c>
      <c r="H43" s="39">
        <v>9.6</v>
      </c>
    </row>
    <row r="44" spans="2:12">
      <c r="B44" s="38" t="s">
        <v>75</v>
      </c>
      <c r="C44" s="135">
        <v>45</v>
      </c>
      <c r="D44" s="135"/>
      <c r="E44" s="135">
        <v>45</v>
      </c>
      <c r="F44" s="135"/>
      <c r="G44" s="40">
        <f>10+23</f>
        <v>33</v>
      </c>
      <c r="H44" s="40">
        <v>33</v>
      </c>
    </row>
    <row r="45" spans="2:12">
      <c r="B45" s="38" t="s">
        <v>76</v>
      </c>
      <c r="C45" s="135">
        <v>15</v>
      </c>
      <c r="D45" s="135"/>
      <c r="E45" s="135">
        <v>15</v>
      </c>
      <c r="F45" s="135"/>
      <c r="G45" s="39"/>
      <c r="H45" s="39"/>
    </row>
    <row r="46" spans="2:12" ht="15" customHeight="1">
      <c r="B46" s="38" t="s">
        <v>77</v>
      </c>
      <c r="C46" s="135" t="s">
        <v>78</v>
      </c>
      <c r="D46" s="135"/>
      <c r="E46" s="136">
        <v>188</v>
      </c>
      <c r="F46" s="136"/>
      <c r="G46" s="39">
        <v>33.25</v>
      </c>
      <c r="H46" s="39">
        <v>25</v>
      </c>
    </row>
    <row r="47" spans="2:12" ht="15" customHeight="1">
      <c r="B47" s="38" t="s">
        <v>79</v>
      </c>
      <c r="C47" s="135">
        <v>350</v>
      </c>
      <c r="D47" s="135"/>
      <c r="E47" s="135" t="s">
        <v>80</v>
      </c>
      <c r="F47" s="135"/>
      <c r="G47" s="39">
        <f>85.6+37.5+12.5+12+142+3+5+6</f>
        <v>303.60000000000002</v>
      </c>
      <c r="H47" s="39">
        <f>67+30+10+10+114+2.5+4+6</f>
        <v>243.5</v>
      </c>
    </row>
    <row r="48" spans="2:12" ht="15" customHeight="1">
      <c r="B48" s="38" t="s">
        <v>81</v>
      </c>
      <c r="C48" s="135">
        <v>200</v>
      </c>
      <c r="D48" s="135"/>
      <c r="E48" s="135" t="s">
        <v>82</v>
      </c>
      <c r="F48" s="135"/>
      <c r="G48" s="39">
        <f>135.7</f>
        <v>135.69999999999999</v>
      </c>
      <c r="H48" s="39">
        <v>125</v>
      </c>
    </row>
    <row r="49" spans="2:8">
      <c r="B49" s="38" t="s">
        <v>83</v>
      </c>
      <c r="C49" s="135">
        <v>15</v>
      </c>
      <c r="D49" s="135"/>
      <c r="E49" s="135">
        <v>15</v>
      </c>
      <c r="F49" s="135"/>
      <c r="G49" s="39">
        <v>5.0999999999999996</v>
      </c>
      <c r="H49" s="39">
        <v>5</v>
      </c>
    </row>
    <row r="50" spans="2:8" ht="26.4">
      <c r="B50" s="38" t="s">
        <v>84</v>
      </c>
      <c r="C50" s="135">
        <v>200</v>
      </c>
      <c r="D50" s="135"/>
      <c r="E50" s="135">
        <v>200</v>
      </c>
      <c r="F50" s="135"/>
      <c r="G50" s="39">
        <v>200</v>
      </c>
      <c r="H50" s="39">
        <v>200</v>
      </c>
    </row>
    <row r="51" spans="2:8" ht="15" customHeight="1">
      <c r="B51" s="38" t="s">
        <v>85</v>
      </c>
      <c r="C51" s="135" t="s">
        <v>86</v>
      </c>
      <c r="D51" s="135"/>
      <c r="E51" s="135">
        <v>70</v>
      </c>
      <c r="F51" s="135"/>
      <c r="G51" s="39">
        <v>40</v>
      </c>
      <c r="H51" s="39">
        <v>25</v>
      </c>
    </row>
    <row r="52" spans="2:8" ht="25.5" customHeight="1">
      <c r="B52" s="38" t="s">
        <v>87</v>
      </c>
      <c r="C52" s="135" t="s">
        <v>88</v>
      </c>
      <c r="D52" s="135"/>
      <c r="E52" s="135">
        <v>35</v>
      </c>
      <c r="F52" s="135"/>
      <c r="G52" s="39"/>
      <c r="H52" s="39"/>
    </row>
    <row r="53" spans="2:8">
      <c r="B53" s="38" t="s">
        <v>89</v>
      </c>
      <c r="C53" s="135">
        <v>60</v>
      </c>
      <c r="D53" s="135"/>
      <c r="E53" s="135">
        <v>58</v>
      </c>
      <c r="F53" s="135"/>
      <c r="G53" s="39">
        <v>90</v>
      </c>
      <c r="H53" s="39">
        <v>66</v>
      </c>
    </row>
    <row r="54" spans="2:8">
      <c r="B54" s="38" t="s">
        <v>90</v>
      </c>
      <c r="C54" s="135">
        <v>15</v>
      </c>
      <c r="D54" s="135"/>
      <c r="E54" s="135">
        <v>14.7</v>
      </c>
      <c r="F54" s="135"/>
      <c r="G54" s="39"/>
      <c r="H54" s="39"/>
    </row>
    <row r="55" spans="2:8">
      <c r="B55" s="38" t="s">
        <v>91</v>
      </c>
      <c r="C55" s="135">
        <v>300</v>
      </c>
      <c r="D55" s="135"/>
      <c r="E55" s="135">
        <v>300</v>
      </c>
      <c r="F55" s="135"/>
      <c r="G55" s="39">
        <f>26+50+100</f>
        <v>176</v>
      </c>
      <c r="H55" s="39">
        <v>176</v>
      </c>
    </row>
    <row r="56" spans="2:8" ht="26.4">
      <c r="B56" s="38" t="s">
        <v>92</v>
      </c>
      <c r="C56" s="135">
        <v>150</v>
      </c>
      <c r="D56" s="135"/>
      <c r="E56" s="135">
        <v>150</v>
      </c>
      <c r="F56" s="135"/>
      <c r="G56" s="39">
        <v>206</v>
      </c>
      <c r="H56" s="39">
        <v>200</v>
      </c>
    </row>
    <row r="57" spans="2:8">
      <c r="B57" s="38" t="s">
        <v>93</v>
      </c>
      <c r="C57" s="135">
        <v>50</v>
      </c>
      <c r="D57" s="135"/>
      <c r="E57" s="135">
        <v>50</v>
      </c>
      <c r="F57" s="135"/>
      <c r="G57" s="39"/>
      <c r="H57" s="39"/>
    </row>
    <row r="58" spans="2:8">
      <c r="B58" s="38" t="s">
        <v>94</v>
      </c>
      <c r="C58" s="135">
        <v>10</v>
      </c>
      <c r="D58" s="135"/>
      <c r="E58" s="135">
        <v>9.8000000000000007</v>
      </c>
      <c r="F58" s="135"/>
      <c r="G58" s="39"/>
      <c r="H58" s="39"/>
    </row>
    <row r="59" spans="2:8">
      <c r="B59" s="38" t="s">
        <v>95</v>
      </c>
      <c r="C59" s="135">
        <v>10</v>
      </c>
      <c r="D59" s="135"/>
      <c r="E59" s="135">
        <v>10</v>
      </c>
      <c r="F59" s="135"/>
      <c r="G59" s="41">
        <v>22</v>
      </c>
      <c r="H59" s="41">
        <v>22</v>
      </c>
    </row>
    <row r="60" spans="2:8">
      <c r="B60" s="38" t="s">
        <v>43</v>
      </c>
      <c r="C60" s="135">
        <v>30</v>
      </c>
      <c r="D60" s="135"/>
      <c r="E60" s="135">
        <v>30</v>
      </c>
      <c r="F60" s="135"/>
      <c r="G60" s="39">
        <v>20</v>
      </c>
      <c r="H60" s="39">
        <v>20</v>
      </c>
    </row>
    <row r="61" spans="2:8">
      <c r="B61" s="38" t="s">
        <v>96</v>
      </c>
      <c r="C61" s="135">
        <v>15</v>
      </c>
      <c r="D61" s="135"/>
      <c r="E61" s="135">
        <v>15</v>
      </c>
      <c r="F61" s="135"/>
      <c r="G61" s="39">
        <f>6+10+5+2+4</f>
        <v>27</v>
      </c>
      <c r="H61" s="39">
        <v>27</v>
      </c>
    </row>
    <row r="62" spans="2:8" ht="15" customHeight="1">
      <c r="B62" s="38" t="s">
        <v>97</v>
      </c>
      <c r="C62" s="135" t="s">
        <v>98</v>
      </c>
      <c r="D62" s="135"/>
      <c r="E62" s="135">
        <v>40</v>
      </c>
      <c r="F62" s="135"/>
      <c r="G62" s="39">
        <v>3</v>
      </c>
      <c r="H62" s="39">
        <v>3</v>
      </c>
    </row>
    <row r="63" spans="2:8">
      <c r="B63" s="38" t="s">
        <v>99</v>
      </c>
      <c r="C63" s="135">
        <v>40</v>
      </c>
      <c r="D63" s="135"/>
      <c r="E63" s="136">
        <v>40</v>
      </c>
      <c r="F63" s="136"/>
      <c r="G63" s="39">
        <f>3+4+3+20+1</f>
        <v>31</v>
      </c>
      <c r="H63" s="39">
        <v>31</v>
      </c>
    </row>
    <row r="64" spans="2:8">
      <c r="B64" s="38" t="s">
        <v>100</v>
      </c>
      <c r="C64" s="136">
        <v>10</v>
      </c>
      <c r="D64" s="136"/>
      <c r="E64" s="135">
        <v>10</v>
      </c>
      <c r="F64" s="135"/>
      <c r="G64" s="39">
        <v>20</v>
      </c>
      <c r="H64" s="39">
        <v>20</v>
      </c>
    </row>
    <row r="65" spans="2:8">
      <c r="B65" s="38" t="s">
        <v>101</v>
      </c>
      <c r="C65" s="135">
        <v>0.4</v>
      </c>
      <c r="D65" s="135"/>
      <c r="E65" s="135">
        <v>0.4</v>
      </c>
      <c r="F65" s="135"/>
      <c r="G65" s="39"/>
      <c r="H65" s="39"/>
    </row>
    <row r="66" spans="2:8">
      <c r="B66" s="38" t="s">
        <v>102</v>
      </c>
      <c r="C66" s="135">
        <v>1.2</v>
      </c>
      <c r="D66" s="135"/>
      <c r="E66" s="135">
        <v>1.2</v>
      </c>
      <c r="F66" s="135"/>
      <c r="G66" s="39"/>
      <c r="H66" s="39"/>
    </row>
    <row r="67" spans="2:8">
      <c r="B67" s="38" t="s">
        <v>103</v>
      </c>
      <c r="C67" s="135">
        <v>1</v>
      </c>
      <c r="D67" s="135"/>
      <c r="E67" s="135">
        <v>1</v>
      </c>
      <c r="F67" s="135"/>
      <c r="G67" s="39"/>
      <c r="H67" s="39"/>
    </row>
    <row r="68" spans="2:8">
      <c r="B68" s="38" t="s">
        <v>104</v>
      </c>
      <c r="C68" s="135">
        <v>5</v>
      </c>
      <c r="D68" s="135"/>
      <c r="E68" s="135">
        <v>5</v>
      </c>
      <c r="F68" s="135"/>
      <c r="G68" s="39">
        <v>3</v>
      </c>
      <c r="H68" s="39">
        <v>3</v>
      </c>
    </row>
    <row r="69" spans="2:8">
      <c r="B69" s="81"/>
      <c r="C69" s="81"/>
      <c r="D69" s="81"/>
      <c r="E69" s="81"/>
      <c r="F69" s="81"/>
      <c r="G69" s="81"/>
      <c r="H69" s="81"/>
    </row>
  </sheetData>
  <mergeCells count="82">
    <mergeCell ref="H5:K5"/>
    <mergeCell ref="L5:O5"/>
    <mergeCell ref="A7:O7"/>
    <mergeCell ref="A8:A9"/>
    <mergeCell ref="D9:O9"/>
    <mergeCell ref="A5:A6"/>
    <mergeCell ref="B5:B6"/>
    <mergeCell ref="C5:C6"/>
    <mergeCell ref="D5:F5"/>
    <mergeCell ref="G5:G6"/>
    <mergeCell ref="A10:A13"/>
    <mergeCell ref="D11:O13"/>
    <mergeCell ref="A16:O16"/>
    <mergeCell ref="A25:O25"/>
    <mergeCell ref="B32:E33"/>
    <mergeCell ref="F32:H32"/>
    <mergeCell ref="B34:E34"/>
    <mergeCell ref="B35:E35"/>
    <mergeCell ref="B37:H37"/>
    <mergeCell ref="C38:F38"/>
    <mergeCell ref="G38:H38"/>
    <mergeCell ref="B39:B40"/>
    <mergeCell ref="C39:D39"/>
    <mergeCell ref="E39:F39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C53:D53"/>
    <mergeCell ref="E53:F53"/>
    <mergeCell ref="C54:D54"/>
    <mergeCell ref="E54:F54"/>
    <mergeCell ref="C55:D55"/>
    <mergeCell ref="E55:F55"/>
    <mergeCell ref="C56:D56"/>
    <mergeCell ref="E56:F56"/>
    <mergeCell ref="C57:D57"/>
    <mergeCell ref="E57:F57"/>
    <mergeCell ref="C58:D58"/>
    <mergeCell ref="E58:F58"/>
    <mergeCell ref="C59:D59"/>
    <mergeCell ref="E59:F59"/>
    <mergeCell ref="C60:D60"/>
    <mergeCell ref="E60:F60"/>
    <mergeCell ref="C61:D61"/>
    <mergeCell ref="E61:F61"/>
    <mergeCell ref="C62:D62"/>
    <mergeCell ref="E62:F62"/>
    <mergeCell ref="C63:D63"/>
    <mergeCell ref="E63:F63"/>
    <mergeCell ref="C64:D64"/>
    <mergeCell ref="E64:F64"/>
    <mergeCell ref="C68:D68"/>
    <mergeCell ref="E68:F68"/>
    <mergeCell ref="C65:D65"/>
    <mergeCell ref="E65:F65"/>
    <mergeCell ref="C66:D66"/>
    <mergeCell ref="E66:F66"/>
    <mergeCell ref="C67:D67"/>
    <mergeCell ref="E67:F67"/>
  </mergeCells>
  <pageMargins left="0.70833333333333304" right="0.70833333333333304" top="0.74791666666666701" bottom="0.74791666666666701" header="0.51180555555555496" footer="0.51180555555555496"/>
  <pageSetup paperSize="9" scale="74" firstPageNumber="0" orientation="landscape" horizontalDpi="300" verticalDpi="300" r:id="rId1"/>
  <rowBreaks count="1" manualBreakCount="1">
    <brk id="3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AA74"/>
  <sheetViews>
    <sheetView view="pageBreakPreview" topLeftCell="A7" zoomScale="90" zoomScalePageLayoutView="90" workbookViewId="0">
      <selection activeCell="A24" sqref="A24:O24"/>
    </sheetView>
  </sheetViews>
  <sheetFormatPr defaultColWidth="8.6640625" defaultRowHeight="14.4"/>
  <cols>
    <col min="2" max="2" width="37.109375" customWidth="1"/>
    <col min="4" max="4" width="11.33203125" customWidth="1"/>
    <col min="6" max="6" width="10.33203125" customWidth="1"/>
    <col min="7" max="7" width="20.44140625" customWidth="1"/>
    <col min="8" max="8" width="11.44140625" customWidth="1"/>
    <col min="9" max="9" width="12.109375" customWidth="1"/>
    <col min="10" max="10" width="14.33203125" customWidth="1"/>
    <col min="12" max="13" width="10" customWidth="1"/>
    <col min="14" max="14" width="8.88671875" customWidth="1"/>
  </cols>
  <sheetData>
    <row r="1" spans="1:19" ht="15.6">
      <c r="A1" s="42" t="s">
        <v>14</v>
      </c>
      <c r="B1" s="43" t="s">
        <v>134</v>
      </c>
    </row>
    <row r="2" spans="1:19" ht="22.5" customHeight="1">
      <c r="A2" s="42" t="s">
        <v>16</v>
      </c>
      <c r="B2" s="43" t="s">
        <v>140</v>
      </c>
    </row>
    <row r="3" spans="1:19" ht="15.6">
      <c r="A3" s="42" t="s">
        <v>18</v>
      </c>
      <c r="B3" s="43" t="s">
        <v>19</v>
      </c>
    </row>
    <row r="4" spans="1:19" ht="47.25" customHeight="1">
      <c r="A4" s="42" t="s">
        <v>20</v>
      </c>
      <c r="B4" s="130" t="s">
        <v>159</v>
      </c>
    </row>
    <row r="5" spans="1:19" ht="15.75" customHeight="1">
      <c r="A5" s="150" t="s">
        <v>21</v>
      </c>
      <c r="B5" s="150" t="s">
        <v>22</v>
      </c>
      <c r="C5" s="150" t="s">
        <v>23</v>
      </c>
      <c r="D5" s="150" t="s">
        <v>24</v>
      </c>
      <c r="E5" s="150"/>
      <c r="F5" s="150"/>
      <c r="G5" s="150" t="s">
        <v>25</v>
      </c>
      <c r="H5" s="150" t="s">
        <v>26</v>
      </c>
      <c r="I5" s="150"/>
      <c r="J5" s="150"/>
      <c r="K5" s="150"/>
      <c r="L5" s="150" t="s">
        <v>27</v>
      </c>
      <c r="M5" s="150"/>
      <c r="N5" s="150"/>
      <c r="O5" s="150"/>
    </row>
    <row r="6" spans="1:19" ht="15.6">
      <c r="A6" s="150"/>
      <c r="B6" s="150"/>
      <c r="C6" s="150"/>
      <c r="D6" s="44" t="s">
        <v>28</v>
      </c>
      <c r="E6" s="44" t="s">
        <v>29</v>
      </c>
      <c r="F6" s="44" t="s">
        <v>30</v>
      </c>
      <c r="G6" s="150"/>
      <c r="H6" s="44" t="s">
        <v>117</v>
      </c>
      <c r="I6" s="44" t="s">
        <v>32</v>
      </c>
      <c r="J6" s="44" t="s">
        <v>33</v>
      </c>
      <c r="K6" s="44" t="s">
        <v>34</v>
      </c>
      <c r="L6" s="44" t="s">
        <v>35</v>
      </c>
      <c r="M6" s="44" t="s">
        <v>36</v>
      </c>
      <c r="N6" s="44" t="s">
        <v>37</v>
      </c>
      <c r="O6" s="44" t="s">
        <v>38</v>
      </c>
    </row>
    <row r="7" spans="1:19" s="46" customFormat="1" ht="16.2" customHeight="1">
      <c r="A7" s="104"/>
      <c r="B7" s="118"/>
      <c r="C7" s="118"/>
      <c r="D7" s="118"/>
      <c r="E7" s="118"/>
      <c r="F7" s="118"/>
      <c r="G7" s="118" t="s">
        <v>39</v>
      </c>
      <c r="H7" s="118"/>
      <c r="I7" s="118"/>
      <c r="J7" s="118"/>
      <c r="K7" s="118"/>
      <c r="L7" s="118"/>
      <c r="M7" s="118"/>
      <c r="N7" s="118"/>
      <c r="O7" s="118"/>
    </row>
    <row r="8" spans="1:19" s="46" customFormat="1" ht="27.6">
      <c r="A8" s="12">
        <v>182</v>
      </c>
      <c r="B8" s="13" t="s">
        <v>118</v>
      </c>
      <c r="C8" s="12">
        <v>250</v>
      </c>
      <c r="D8" s="119">
        <v>5.0999999999999996</v>
      </c>
      <c r="E8" s="119">
        <v>10.220000000000001</v>
      </c>
      <c r="F8" s="119">
        <v>33.42</v>
      </c>
      <c r="G8" s="120">
        <v>251</v>
      </c>
      <c r="H8" s="119">
        <v>0.06</v>
      </c>
      <c r="I8" s="119">
        <v>1.17</v>
      </c>
      <c r="J8" s="119">
        <v>58</v>
      </c>
      <c r="K8" s="119">
        <v>0.21</v>
      </c>
      <c r="L8" s="119">
        <v>130.09</v>
      </c>
      <c r="M8" s="119"/>
      <c r="N8" s="119">
        <v>30.12</v>
      </c>
      <c r="O8" s="119">
        <v>0.47</v>
      </c>
    </row>
    <row r="9" spans="1:19" s="1" customFormat="1">
      <c r="A9" s="145">
        <v>8</v>
      </c>
      <c r="B9" s="13" t="s">
        <v>108</v>
      </c>
      <c r="C9" s="47">
        <v>60</v>
      </c>
      <c r="D9" s="121">
        <v>8.61</v>
      </c>
      <c r="E9" s="121">
        <v>15.67</v>
      </c>
      <c r="F9" s="121">
        <v>17.7</v>
      </c>
      <c r="G9" s="122">
        <v>240.8</v>
      </c>
      <c r="H9" s="121">
        <v>0.05</v>
      </c>
      <c r="I9" s="121"/>
      <c r="J9" s="121"/>
      <c r="K9" s="121">
        <v>0.02</v>
      </c>
      <c r="L9" s="121">
        <v>9.1</v>
      </c>
      <c r="M9" s="121">
        <v>73.2</v>
      </c>
      <c r="N9" s="121">
        <v>15.9</v>
      </c>
      <c r="O9" s="121">
        <v>0.99</v>
      </c>
      <c r="P9" s="49"/>
      <c r="Q9" s="49"/>
      <c r="R9" s="49"/>
      <c r="S9" s="49"/>
    </row>
    <row r="10" spans="1:19" s="1" customFormat="1">
      <c r="A10" s="145"/>
      <c r="B10" s="13" t="s">
        <v>42</v>
      </c>
      <c r="C10" s="47">
        <v>40</v>
      </c>
      <c r="D10" s="121"/>
      <c r="E10" s="121"/>
      <c r="F10" s="121"/>
      <c r="G10" s="122"/>
      <c r="H10" s="121"/>
      <c r="I10" s="121"/>
      <c r="J10" s="121"/>
      <c r="K10" s="121"/>
      <c r="L10" s="121"/>
      <c r="M10" s="121"/>
      <c r="N10" s="121"/>
      <c r="O10" s="121"/>
      <c r="P10" s="49"/>
      <c r="Q10" s="49"/>
      <c r="R10" s="49"/>
      <c r="S10" s="49"/>
    </row>
    <row r="11" spans="1:19" s="46" customFormat="1" ht="13.8">
      <c r="A11" s="145"/>
      <c r="B11" s="15" t="s">
        <v>110</v>
      </c>
      <c r="C11" s="48">
        <v>20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50"/>
      <c r="Q11" s="50"/>
      <c r="R11" s="51"/>
      <c r="S11" s="51"/>
    </row>
    <row r="12" spans="1:19" s="8" customFormat="1" ht="13.8">
      <c r="A12" s="145"/>
      <c r="B12" s="52"/>
      <c r="C12" s="48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50"/>
      <c r="Q12" s="50"/>
      <c r="R12" s="53"/>
      <c r="S12" s="53"/>
    </row>
    <row r="13" spans="1:19">
      <c r="A13" s="12">
        <v>382</v>
      </c>
      <c r="B13" s="13" t="s">
        <v>45</v>
      </c>
      <c r="C13" s="12">
        <v>200</v>
      </c>
      <c r="D13" s="14">
        <f>20.39/10*2</f>
        <v>4.0780000000000003</v>
      </c>
      <c r="E13" s="14">
        <f>17.72/10*2</f>
        <v>3.5439999999999996</v>
      </c>
      <c r="F13" s="14">
        <f>87.89/10*2</f>
        <v>17.577999999999999</v>
      </c>
      <c r="G13" s="14">
        <f>593/10*2</f>
        <v>118.6</v>
      </c>
      <c r="H13" s="14"/>
      <c r="I13" s="14">
        <f>7.94/10*2</f>
        <v>1.5880000000000001</v>
      </c>
      <c r="J13" s="14"/>
      <c r="K13" s="14"/>
      <c r="L13" s="14">
        <f>761.1/10*2</f>
        <v>152.22</v>
      </c>
      <c r="M13" s="14"/>
      <c r="N13" s="14">
        <f>106.7/10*2</f>
        <v>21.34</v>
      </c>
      <c r="O13" s="14">
        <f>2.39/10*2</f>
        <v>0.47800000000000004</v>
      </c>
    </row>
    <row r="14" spans="1:19" s="46" customFormat="1" ht="16.2" customHeight="1">
      <c r="A14" s="17" t="s">
        <v>46</v>
      </c>
      <c r="B14" s="18"/>
      <c r="C14" s="18">
        <v>510</v>
      </c>
      <c r="D14" s="74">
        <f>SUM(D8:D13)</f>
        <v>17.788</v>
      </c>
      <c r="E14" s="74">
        <f>SUM(E8:E13)</f>
        <v>29.434000000000001</v>
      </c>
      <c r="F14" s="74">
        <f>SUM(F8:F13)</f>
        <v>68.698000000000008</v>
      </c>
      <c r="G14" s="74">
        <f>SUM(G8:G13)</f>
        <v>610.4</v>
      </c>
      <c r="H14" s="74">
        <v>0.11</v>
      </c>
      <c r="I14" s="74">
        <v>2.76</v>
      </c>
      <c r="J14" s="74">
        <v>58</v>
      </c>
      <c r="K14" s="74">
        <v>0.23</v>
      </c>
      <c r="L14" s="74">
        <v>291.41000000000003</v>
      </c>
      <c r="M14" s="74">
        <v>73.2</v>
      </c>
      <c r="N14" s="74">
        <v>67.36</v>
      </c>
      <c r="O14" s="74">
        <v>1.94</v>
      </c>
    </row>
    <row r="15" spans="1:19" s="46" customFormat="1" ht="18.75" customHeight="1">
      <c r="A15" s="156" t="s">
        <v>47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23"/>
    </row>
    <row r="16" spans="1:19">
      <c r="A16" s="12"/>
      <c r="B16" s="13"/>
      <c r="C16" s="1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27" s="46" customFormat="1" ht="25.5" customHeight="1">
      <c r="A17" s="12">
        <v>138</v>
      </c>
      <c r="B17" s="13" t="s">
        <v>156</v>
      </c>
      <c r="C17" s="12">
        <v>250</v>
      </c>
      <c r="D17" s="14">
        <v>2.8</v>
      </c>
      <c r="E17" s="14">
        <v>3</v>
      </c>
      <c r="F17" s="14">
        <v>20.5</v>
      </c>
      <c r="G17" s="14">
        <v>121</v>
      </c>
      <c r="H17" s="14"/>
      <c r="I17" s="14">
        <v>5.6</v>
      </c>
      <c r="J17" s="14"/>
      <c r="K17" s="14"/>
      <c r="L17" s="14">
        <v>105.4</v>
      </c>
      <c r="M17" s="14"/>
      <c r="N17" s="14">
        <v>18</v>
      </c>
      <c r="O17" s="14">
        <v>0.7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</row>
    <row r="18" spans="1:27">
      <c r="A18" s="12">
        <v>413</v>
      </c>
      <c r="B18" s="13" t="s">
        <v>132</v>
      </c>
      <c r="C18" s="12">
        <v>100</v>
      </c>
      <c r="D18" s="14">
        <v>8.8800000000000008</v>
      </c>
      <c r="E18" s="14">
        <v>19.12</v>
      </c>
      <c r="F18" s="14">
        <v>1.28</v>
      </c>
      <c r="G18" s="14">
        <v>212.8</v>
      </c>
      <c r="H18" s="14"/>
      <c r="I18" s="14"/>
      <c r="J18" s="14"/>
      <c r="K18" s="14"/>
      <c r="L18" s="14">
        <v>10.83</v>
      </c>
      <c r="M18" s="14"/>
      <c r="N18" s="14"/>
      <c r="O18" s="14">
        <v>0.6</v>
      </c>
    </row>
    <row r="19" spans="1:27">
      <c r="A19" s="12">
        <v>302</v>
      </c>
      <c r="B19" s="13" t="s">
        <v>157</v>
      </c>
      <c r="C19" s="12" t="s">
        <v>131</v>
      </c>
      <c r="D19" s="14">
        <v>14</v>
      </c>
      <c r="E19" s="14">
        <v>8.6999999999999993</v>
      </c>
      <c r="F19" s="14">
        <v>57.9</v>
      </c>
      <c r="G19" s="14">
        <v>372</v>
      </c>
      <c r="H19" s="14">
        <v>0.05</v>
      </c>
      <c r="I19" s="14"/>
      <c r="J19" s="14"/>
      <c r="K19" s="14">
        <v>1.71</v>
      </c>
      <c r="L19" s="14">
        <v>21.57</v>
      </c>
      <c r="M19" s="14"/>
      <c r="N19" s="14">
        <v>204.08</v>
      </c>
      <c r="O19" s="14">
        <v>6.99</v>
      </c>
    </row>
    <row r="20" spans="1:27">
      <c r="A20" s="12">
        <v>389</v>
      </c>
      <c r="B20" s="13" t="s">
        <v>165</v>
      </c>
      <c r="C20" s="12">
        <v>200</v>
      </c>
      <c r="D20" s="14">
        <v>1</v>
      </c>
      <c r="E20" s="14"/>
      <c r="F20" s="14">
        <v>20.2</v>
      </c>
      <c r="G20" s="14">
        <v>84.8</v>
      </c>
      <c r="H20" s="14"/>
      <c r="I20" s="14">
        <v>6</v>
      </c>
      <c r="J20" s="14"/>
      <c r="K20" s="14"/>
      <c r="L20" s="14">
        <v>14</v>
      </c>
      <c r="M20" s="14"/>
      <c r="N20" s="14">
        <v>8</v>
      </c>
      <c r="O20" s="14">
        <v>2.8</v>
      </c>
    </row>
    <row r="21" spans="1:27">
      <c r="A21" s="15">
        <v>701</v>
      </c>
      <c r="B21" s="13" t="s">
        <v>52</v>
      </c>
      <c r="C21" s="12">
        <v>40</v>
      </c>
      <c r="D21" s="14">
        <v>3.8</v>
      </c>
      <c r="E21" s="14">
        <v>0.45</v>
      </c>
      <c r="F21" s="14">
        <v>23.35</v>
      </c>
      <c r="G21" s="14">
        <v>114.6</v>
      </c>
      <c r="H21" s="14">
        <v>0.05</v>
      </c>
      <c r="I21" s="14"/>
      <c r="J21" s="14"/>
      <c r="K21" s="14"/>
      <c r="L21" s="14">
        <v>9.3000000000000007</v>
      </c>
      <c r="M21" s="14"/>
      <c r="N21" s="14"/>
      <c r="O21" s="14">
        <v>0.62</v>
      </c>
    </row>
    <row r="22" spans="1:27">
      <c r="A22" s="15">
        <v>701</v>
      </c>
      <c r="B22" s="13" t="s">
        <v>42</v>
      </c>
      <c r="C22" s="12">
        <v>40</v>
      </c>
      <c r="D22" s="14">
        <v>3.04</v>
      </c>
      <c r="E22" s="14">
        <v>0.36</v>
      </c>
      <c r="F22" s="14">
        <v>18.68</v>
      </c>
      <c r="G22" s="14">
        <v>85.44</v>
      </c>
      <c r="H22" s="14">
        <v>0.05</v>
      </c>
      <c r="I22" s="14"/>
      <c r="J22" s="14"/>
      <c r="K22" s="14"/>
      <c r="L22" s="14">
        <v>9.3000000000000007</v>
      </c>
      <c r="M22" s="14"/>
      <c r="N22" s="14"/>
      <c r="O22" s="14">
        <v>0.62</v>
      </c>
    </row>
    <row r="23" spans="1:27" s="46" customFormat="1" ht="16.2" customHeight="1">
      <c r="A23" s="17" t="s">
        <v>46</v>
      </c>
      <c r="B23" s="18"/>
      <c r="C23" s="18">
        <v>815</v>
      </c>
      <c r="D23" s="74">
        <f>SUM(D16:D22)</f>
        <v>33.520000000000003</v>
      </c>
      <c r="E23" s="74">
        <f>SUM(E16:E22)</f>
        <v>31.63</v>
      </c>
      <c r="F23" s="74">
        <f>SUM(F16:F22)</f>
        <v>141.91000000000003</v>
      </c>
      <c r="G23" s="74">
        <v>990.64</v>
      </c>
      <c r="H23" s="74">
        <v>0.15</v>
      </c>
      <c r="I23" s="74">
        <v>11.6</v>
      </c>
      <c r="J23" s="74"/>
      <c r="K23" s="74">
        <v>1.71</v>
      </c>
      <c r="L23" s="74">
        <v>170.4</v>
      </c>
      <c r="M23" s="74"/>
      <c r="N23" s="74">
        <v>230.08</v>
      </c>
      <c r="O23" s="74">
        <v>12.33</v>
      </c>
    </row>
    <row r="24" spans="1:27" s="46" customFormat="1" ht="16.2" customHeight="1">
      <c r="A24" s="156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23"/>
    </row>
    <row r="25" spans="1:27" s="46" customFormat="1" ht="15.75" customHeight="1">
      <c r="A25" s="12"/>
      <c r="B25" s="13"/>
      <c r="C25" s="12"/>
      <c r="D25" s="14"/>
      <c r="E25" s="14"/>
      <c r="F25" s="14"/>
      <c r="G25" s="14"/>
      <c r="H25" s="14"/>
      <c r="I25" s="14"/>
      <c r="J25" s="104"/>
      <c r="K25" s="14"/>
      <c r="L25" s="14"/>
      <c r="M25" s="14"/>
      <c r="N25" s="14"/>
      <c r="O25" s="14"/>
    </row>
    <row r="26" spans="1:27" s="8" customFormat="1" ht="13.8">
      <c r="A26" s="12"/>
      <c r="B26" s="13"/>
      <c r="C26" s="12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27" s="8" customFormat="1" ht="18.75" customHeight="1">
      <c r="A27" s="12"/>
      <c r="B27" s="13"/>
      <c r="C27" s="12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27" s="46" customFormat="1" ht="16.2" customHeight="1">
      <c r="A28" s="17" t="s">
        <v>46</v>
      </c>
      <c r="B28" s="18"/>
      <c r="C28" s="18"/>
      <c r="D28" s="74">
        <f>SUM(D25:D27)</f>
        <v>0</v>
      </c>
      <c r="E28" s="74">
        <f>SUM(E25:E27)</f>
        <v>0</v>
      </c>
      <c r="F28" s="74">
        <f>SUM(F25:F27)</f>
        <v>0</v>
      </c>
      <c r="G28" s="74"/>
      <c r="H28" s="74"/>
      <c r="I28" s="74"/>
      <c r="J28" s="74"/>
      <c r="K28" s="74"/>
      <c r="L28" s="74"/>
      <c r="M28" s="74"/>
      <c r="N28" s="74"/>
      <c r="O28" s="74"/>
    </row>
    <row r="29" spans="1:27" s="46" customFormat="1" ht="16.2" customHeight="1">
      <c r="A29" s="17" t="s">
        <v>55</v>
      </c>
      <c r="B29" s="18"/>
      <c r="C29" s="18">
        <v>1345</v>
      </c>
      <c r="D29" s="21">
        <f>SUM(D8:D13)+SUM(D16:D22)+SUM(D25:D27)</f>
        <v>51.308000000000007</v>
      </c>
      <c r="E29" s="21">
        <v>61.06</v>
      </c>
      <c r="F29" s="21">
        <f>SUM(F8:F13)+SUM(F16:F22)+SUM(F25:F27)</f>
        <v>210.60800000000003</v>
      </c>
      <c r="G29" s="21">
        <f>SUM(G8:G13)+SUM(G16:G22)+SUM(G25:G27)</f>
        <v>1601.04</v>
      </c>
      <c r="H29" s="79">
        <v>0.26</v>
      </c>
      <c r="I29" s="79">
        <v>14.36</v>
      </c>
      <c r="J29" s="79">
        <v>58</v>
      </c>
      <c r="K29" s="79">
        <v>1.94</v>
      </c>
      <c r="L29" s="79">
        <v>461.81</v>
      </c>
      <c r="M29" s="124" t="s">
        <v>162</v>
      </c>
      <c r="N29" s="124">
        <v>297.44</v>
      </c>
      <c r="O29" s="76">
        <v>14.27</v>
      </c>
    </row>
    <row r="30" spans="1:27">
      <c r="G30" s="125"/>
    </row>
    <row r="31" spans="1:27" ht="26.25" customHeight="1">
      <c r="B31" s="137" t="s">
        <v>56</v>
      </c>
      <c r="C31" s="137"/>
      <c r="D31" s="137"/>
      <c r="E31" s="137"/>
      <c r="F31" s="142" t="s">
        <v>57</v>
      </c>
      <c r="G31" s="142"/>
      <c r="H31" s="142"/>
      <c r="I31" s="31" t="s">
        <v>58</v>
      </c>
    </row>
    <row r="32" spans="1:27">
      <c r="B32" s="137"/>
      <c r="C32" s="137"/>
      <c r="D32" s="137"/>
      <c r="E32" s="137"/>
      <c r="F32" s="30" t="s">
        <v>28</v>
      </c>
      <c r="G32" s="30" t="s">
        <v>29</v>
      </c>
      <c r="H32" s="30" t="s">
        <v>30</v>
      </c>
      <c r="I32" s="32"/>
    </row>
    <row r="33" spans="2:11" ht="15.75" customHeight="1">
      <c r="B33" s="137" t="s">
        <v>59</v>
      </c>
      <c r="C33" s="137"/>
      <c r="D33" s="137"/>
      <c r="E33" s="137"/>
      <c r="F33" s="30" t="s">
        <v>60</v>
      </c>
      <c r="G33" s="30" t="s">
        <v>61</v>
      </c>
      <c r="H33" s="30" t="s">
        <v>62</v>
      </c>
      <c r="I33" s="30" t="s">
        <v>63</v>
      </c>
    </row>
    <row r="34" spans="2:11" ht="15.75" customHeight="1">
      <c r="B34" s="137" t="s">
        <v>64</v>
      </c>
      <c r="C34" s="137"/>
      <c r="D34" s="137"/>
      <c r="E34" s="137"/>
      <c r="F34" s="33">
        <f>D29</f>
        <v>51.308000000000007</v>
      </c>
      <c r="G34" s="33">
        <f>E29</f>
        <v>61.06</v>
      </c>
      <c r="H34" s="33">
        <f>F29</f>
        <v>210.60800000000003</v>
      </c>
      <c r="I34" s="33">
        <f>G29</f>
        <v>1601.04</v>
      </c>
    </row>
    <row r="36" spans="2:11" ht="41.25" customHeight="1">
      <c r="B36" s="138" t="s">
        <v>66</v>
      </c>
      <c r="C36" s="138"/>
      <c r="D36" s="138"/>
      <c r="E36" s="138"/>
      <c r="F36" s="138"/>
      <c r="G36" s="138"/>
      <c r="H36" s="138"/>
    </row>
    <row r="37" spans="2:11" ht="33.75" customHeight="1">
      <c r="B37" s="36" t="s">
        <v>67</v>
      </c>
      <c r="C37" s="139" t="s">
        <v>68</v>
      </c>
      <c r="D37" s="139"/>
      <c r="E37" s="139"/>
      <c r="F37" s="139"/>
      <c r="G37" s="140" t="s">
        <v>69</v>
      </c>
      <c r="H37" s="140"/>
      <c r="J37" s="42" t="s">
        <v>14</v>
      </c>
      <c r="K37" s="43" t="s">
        <v>134</v>
      </c>
    </row>
    <row r="38" spans="2:11" ht="15.75" customHeight="1">
      <c r="B38" s="139"/>
      <c r="C38" s="139" t="s">
        <v>70</v>
      </c>
      <c r="D38" s="139"/>
      <c r="E38" s="139" t="s">
        <v>71</v>
      </c>
      <c r="F38" s="139"/>
      <c r="G38" s="36" t="s">
        <v>70</v>
      </c>
      <c r="H38" s="36" t="s">
        <v>71</v>
      </c>
      <c r="J38" s="42" t="s">
        <v>16</v>
      </c>
      <c r="K38" s="43" t="s">
        <v>140</v>
      </c>
    </row>
    <row r="39" spans="2:11" ht="30" customHeight="1">
      <c r="B39" s="139"/>
      <c r="C39" s="139" t="s">
        <v>72</v>
      </c>
      <c r="D39" s="139"/>
      <c r="E39" s="139" t="s">
        <v>72</v>
      </c>
      <c r="F39" s="139"/>
      <c r="G39" s="36" t="s">
        <v>72</v>
      </c>
      <c r="H39" s="36" t="s">
        <v>72</v>
      </c>
      <c r="J39" s="42" t="s">
        <v>18</v>
      </c>
      <c r="K39" s="43" t="s">
        <v>19</v>
      </c>
    </row>
    <row r="40" spans="2:11" ht="51.75" customHeight="1">
      <c r="B40" s="38" t="s">
        <v>73</v>
      </c>
      <c r="C40" s="135">
        <v>80</v>
      </c>
      <c r="D40" s="135"/>
      <c r="E40" s="135">
        <v>80</v>
      </c>
      <c r="F40" s="135"/>
      <c r="G40" s="39">
        <v>40</v>
      </c>
      <c r="H40" s="39">
        <v>40</v>
      </c>
      <c r="J40" s="42" t="s">
        <v>20</v>
      </c>
      <c r="K40" s="43" t="s">
        <v>153</v>
      </c>
    </row>
    <row r="41" spans="2:11">
      <c r="B41" s="38" t="s">
        <v>42</v>
      </c>
      <c r="C41" s="135">
        <v>150</v>
      </c>
      <c r="D41" s="135"/>
      <c r="E41" s="135">
        <v>150</v>
      </c>
      <c r="F41" s="135"/>
      <c r="G41" s="39">
        <v>90</v>
      </c>
      <c r="H41" s="39">
        <v>90</v>
      </c>
    </row>
    <row r="42" spans="2:11" ht="36.75" customHeight="1">
      <c r="B42" s="38" t="s">
        <v>74</v>
      </c>
      <c r="C42" s="135">
        <v>15</v>
      </c>
      <c r="D42" s="135"/>
      <c r="E42" s="135">
        <v>15</v>
      </c>
      <c r="F42" s="135"/>
      <c r="G42" s="39">
        <v>35.700000000000003</v>
      </c>
      <c r="H42" s="39">
        <v>35.700000000000003</v>
      </c>
    </row>
    <row r="43" spans="2:11" ht="21.75" customHeight="1">
      <c r="B43" s="38" t="s">
        <v>75</v>
      </c>
      <c r="C43" s="135">
        <v>45</v>
      </c>
      <c r="D43" s="135"/>
      <c r="E43" s="135">
        <v>45</v>
      </c>
      <c r="F43" s="135"/>
      <c r="G43" s="40">
        <v>31</v>
      </c>
      <c r="H43" s="40">
        <v>31</v>
      </c>
    </row>
    <row r="44" spans="2:11">
      <c r="B44" s="38" t="s">
        <v>76</v>
      </c>
      <c r="C44" s="135">
        <v>15</v>
      </c>
      <c r="D44" s="135"/>
      <c r="E44" s="135">
        <v>15</v>
      </c>
      <c r="F44" s="135"/>
      <c r="G44" s="39">
        <v>10</v>
      </c>
      <c r="H44" s="39">
        <v>10</v>
      </c>
    </row>
    <row r="45" spans="2:11" ht="15" customHeight="1">
      <c r="B45" s="38" t="s">
        <v>77</v>
      </c>
      <c r="C45" s="135" t="s">
        <v>78</v>
      </c>
      <c r="D45" s="135"/>
      <c r="E45" s="136">
        <v>188</v>
      </c>
      <c r="F45" s="136"/>
      <c r="G45" s="39">
        <f>28.9+53.4+171</f>
        <v>253.3</v>
      </c>
      <c r="H45" s="39">
        <f>21+40+129</f>
        <v>190</v>
      </c>
    </row>
    <row r="46" spans="2:11" ht="15" customHeight="1">
      <c r="B46" s="38" t="s">
        <v>79</v>
      </c>
      <c r="C46" s="135">
        <v>350</v>
      </c>
      <c r="D46" s="135"/>
      <c r="E46" s="135" t="s">
        <v>80</v>
      </c>
      <c r="F46" s="135"/>
      <c r="G46" s="39">
        <f>19.1+12.6+18.8+21.4+18.8+10+9.6+2+5+3</f>
        <v>120.3</v>
      </c>
      <c r="H46" s="39">
        <f>15+10+7.5+15+15+8+8+4+4+2</f>
        <v>88.5</v>
      </c>
    </row>
    <row r="47" spans="2:11" ht="15" customHeight="1">
      <c r="B47" s="38" t="s">
        <v>81</v>
      </c>
      <c r="C47" s="135">
        <v>200</v>
      </c>
      <c r="D47" s="135"/>
      <c r="E47" s="135" t="s">
        <v>82</v>
      </c>
      <c r="F47" s="135"/>
      <c r="G47" s="39">
        <v>100</v>
      </c>
      <c r="H47" s="39">
        <v>100</v>
      </c>
    </row>
    <row r="48" spans="2:11">
      <c r="B48" s="38" t="s">
        <v>83</v>
      </c>
      <c r="C48" s="135">
        <v>15</v>
      </c>
      <c r="D48" s="135"/>
      <c r="E48" s="135">
        <v>15</v>
      </c>
      <c r="F48" s="135"/>
      <c r="G48" s="39">
        <v>20.100000000000001</v>
      </c>
      <c r="H48" s="39">
        <v>20.100000000000001</v>
      </c>
    </row>
    <row r="49" spans="2:8" ht="26.4">
      <c r="B49" s="38" t="s">
        <v>84</v>
      </c>
      <c r="C49" s="135">
        <v>200</v>
      </c>
      <c r="D49" s="135"/>
      <c r="E49" s="135">
        <v>200</v>
      </c>
      <c r="F49" s="135"/>
      <c r="G49" s="39"/>
      <c r="H49" s="39"/>
    </row>
    <row r="50" spans="2:8" ht="15" customHeight="1">
      <c r="B50" s="38" t="s">
        <v>85</v>
      </c>
      <c r="C50" s="135" t="s">
        <v>86</v>
      </c>
      <c r="D50" s="135"/>
      <c r="E50" s="135">
        <v>70</v>
      </c>
      <c r="F50" s="135"/>
      <c r="G50" s="39"/>
      <c r="H50" s="39"/>
    </row>
    <row r="51" spans="2:8" ht="25.5" customHeight="1">
      <c r="B51" s="38" t="s">
        <v>87</v>
      </c>
      <c r="C51" s="135" t="s">
        <v>88</v>
      </c>
      <c r="D51" s="135"/>
      <c r="E51" s="135">
        <v>35</v>
      </c>
      <c r="F51" s="135"/>
      <c r="G51" s="39">
        <f>142+40</f>
        <v>182</v>
      </c>
      <c r="H51" s="39">
        <f>128+25</f>
        <v>153</v>
      </c>
    </row>
    <row r="52" spans="2:8">
      <c r="B52" s="38" t="s">
        <v>89</v>
      </c>
      <c r="C52" s="135">
        <v>60</v>
      </c>
      <c r="D52" s="135"/>
      <c r="E52" s="135">
        <v>58</v>
      </c>
      <c r="F52" s="135"/>
      <c r="G52" s="39"/>
      <c r="H52" s="39"/>
    </row>
    <row r="53" spans="2:8">
      <c r="B53" s="38" t="s">
        <v>90</v>
      </c>
      <c r="C53" s="135">
        <v>15</v>
      </c>
      <c r="D53" s="135"/>
      <c r="E53" s="135">
        <v>14.7</v>
      </c>
      <c r="F53" s="135"/>
      <c r="G53" s="39"/>
      <c r="H53" s="39"/>
    </row>
    <row r="54" spans="2:8">
      <c r="B54" s="38" t="s">
        <v>91</v>
      </c>
      <c r="C54" s="135">
        <v>300</v>
      </c>
      <c r="D54" s="135"/>
      <c r="E54" s="135">
        <v>300</v>
      </c>
      <c r="F54" s="135"/>
      <c r="G54" s="39">
        <f>211+24+100+100</f>
        <v>435</v>
      </c>
      <c r="H54" s="39">
        <f>22.5+200+200+24</f>
        <v>446.5</v>
      </c>
    </row>
    <row r="55" spans="2:8" ht="26.4">
      <c r="B55" s="38" t="s">
        <v>92</v>
      </c>
      <c r="C55" s="135">
        <v>150</v>
      </c>
      <c r="D55" s="135"/>
      <c r="E55" s="135">
        <v>150</v>
      </c>
      <c r="F55" s="135"/>
      <c r="G55" s="39"/>
      <c r="H55" s="39"/>
    </row>
    <row r="56" spans="2:8">
      <c r="B56" s="38" t="s">
        <v>93</v>
      </c>
      <c r="C56" s="135">
        <v>50</v>
      </c>
      <c r="D56" s="135"/>
      <c r="E56" s="135">
        <v>50</v>
      </c>
      <c r="F56" s="135"/>
      <c r="G56" s="39"/>
      <c r="H56" s="39"/>
    </row>
    <row r="57" spans="2:8">
      <c r="B57" s="38" t="s">
        <v>94</v>
      </c>
      <c r="C57" s="135">
        <v>10</v>
      </c>
      <c r="D57" s="135"/>
      <c r="E57" s="135">
        <v>9.8000000000000007</v>
      </c>
      <c r="F57" s="135"/>
      <c r="G57" s="39"/>
      <c r="H57" s="39"/>
    </row>
    <row r="58" spans="2:8">
      <c r="B58" s="38" t="s">
        <v>95</v>
      </c>
      <c r="C58" s="135">
        <v>10</v>
      </c>
      <c r="D58" s="135"/>
      <c r="E58" s="135">
        <v>10</v>
      </c>
      <c r="F58" s="135"/>
      <c r="G58" s="41"/>
      <c r="H58" s="41"/>
    </row>
    <row r="59" spans="2:8">
      <c r="B59" s="38" t="s">
        <v>43</v>
      </c>
      <c r="C59" s="135">
        <v>30</v>
      </c>
      <c r="D59" s="135"/>
      <c r="E59" s="135">
        <v>30</v>
      </c>
      <c r="F59" s="135"/>
      <c r="G59" s="39">
        <f>0.5+5.25+10+10</f>
        <v>25.75</v>
      </c>
      <c r="H59" s="39">
        <v>25.75</v>
      </c>
    </row>
    <row r="60" spans="2:8">
      <c r="B60" s="38" t="s">
        <v>96</v>
      </c>
      <c r="C60" s="135">
        <v>15</v>
      </c>
      <c r="D60" s="135"/>
      <c r="E60" s="135">
        <v>15</v>
      </c>
      <c r="F60" s="135"/>
      <c r="G60" s="39">
        <v>10</v>
      </c>
      <c r="H60" s="39">
        <v>10</v>
      </c>
    </row>
    <row r="61" spans="2:8" ht="15" customHeight="1">
      <c r="B61" s="38" t="s">
        <v>97</v>
      </c>
      <c r="C61" s="135" t="s">
        <v>98</v>
      </c>
      <c r="D61" s="135"/>
      <c r="E61" s="135">
        <v>40</v>
      </c>
      <c r="F61" s="135"/>
      <c r="G61" s="39">
        <v>2.1</v>
      </c>
      <c r="H61" s="39">
        <v>2.1</v>
      </c>
    </row>
    <row r="62" spans="2:8">
      <c r="B62" s="38" t="s">
        <v>99</v>
      </c>
      <c r="C62" s="135">
        <v>40</v>
      </c>
      <c r="D62" s="135"/>
      <c r="E62" s="136">
        <v>40</v>
      </c>
      <c r="F62" s="136"/>
      <c r="G62" s="39">
        <f>46.36</f>
        <v>46.36</v>
      </c>
      <c r="H62" s="39">
        <v>46.36</v>
      </c>
    </row>
    <row r="63" spans="2:8">
      <c r="B63" s="38" t="s">
        <v>100</v>
      </c>
      <c r="C63" s="136">
        <v>10</v>
      </c>
      <c r="D63" s="136"/>
      <c r="E63" s="135">
        <v>10</v>
      </c>
      <c r="F63" s="135"/>
      <c r="G63" s="39"/>
      <c r="H63" s="39"/>
    </row>
    <row r="64" spans="2:8">
      <c r="B64" s="38" t="s">
        <v>101</v>
      </c>
      <c r="C64" s="135">
        <v>0.4</v>
      </c>
      <c r="D64" s="135"/>
      <c r="E64" s="135">
        <v>0.4</v>
      </c>
      <c r="F64" s="135"/>
      <c r="G64" s="39"/>
      <c r="H64" s="39"/>
    </row>
    <row r="65" spans="2:8">
      <c r="B65" s="38" t="s">
        <v>102</v>
      </c>
      <c r="C65" s="135">
        <v>1.2</v>
      </c>
      <c r="D65" s="135"/>
      <c r="E65" s="135">
        <v>1.2</v>
      </c>
      <c r="F65" s="135"/>
      <c r="G65" s="39">
        <v>4</v>
      </c>
      <c r="H65" s="39">
        <v>4</v>
      </c>
    </row>
    <row r="66" spans="2:8">
      <c r="B66" s="38" t="s">
        <v>103</v>
      </c>
      <c r="C66" s="135">
        <v>1</v>
      </c>
      <c r="D66" s="135"/>
      <c r="E66" s="135">
        <v>1</v>
      </c>
      <c r="F66" s="135"/>
      <c r="G66" s="39">
        <v>0.1</v>
      </c>
      <c r="H66" s="39">
        <v>0.1</v>
      </c>
    </row>
    <row r="67" spans="2:8">
      <c r="B67" s="38" t="s">
        <v>104</v>
      </c>
      <c r="C67" s="135">
        <v>5</v>
      </c>
      <c r="D67" s="135"/>
      <c r="E67" s="135">
        <v>5</v>
      </c>
      <c r="F67" s="135"/>
      <c r="G67" s="39">
        <v>3</v>
      </c>
      <c r="H67" s="39">
        <v>3</v>
      </c>
    </row>
    <row r="68" spans="2:8">
      <c r="B68" s="37"/>
      <c r="C68" s="158"/>
      <c r="D68" s="158"/>
      <c r="E68" s="158"/>
      <c r="F68" s="158"/>
      <c r="G68" s="126"/>
      <c r="H68" s="126"/>
    </row>
    <row r="69" spans="2:8">
      <c r="B69" s="37"/>
      <c r="C69" s="158"/>
      <c r="D69" s="158"/>
      <c r="E69" s="158"/>
      <c r="F69" s="158"/>
      <c r="G69" s="126"/>
      <c r="H69" s="126"/>
    </row>
    <row r="70" spans="2:8">
      <c r="B70" s="37"/>
      <c r="C70" s="158"/>
      <c r="D70" s="158"/>
      <c r="E70" s="158"/>
      <c r="F70" s="158"/>
      <c r="G70" s="126"/>
      <c r="H70" s="126"/>
    </row>
    <row r="71" spans="2:8">
      <c r="B71" s="37"/>
      <c r="C71" s="158"/>
      <c r="D71" s="158"/>
      <c r="E71" s="158"/>
      <c r="F71" s="158"/>
      <c r="G71" s="126"/>
      <c r="H71" s="126"/>
    </row>
    <row r="72" spans="2:8">
      <c r="B72" s="37"/>
      <c r="C72" s="158"/>
      <c r="D72" s="158"/>
      <c r="E72" s="158"/>
      <c r="F72" s="158"/>
      <c r="G72" s="126"/>
      <c r="H72" s="126"/>
    </row>
    <row r="73" spans="2:8">
      <c r="B73" s="37"/>
      <c r="C73" s="158"/>
      <c r="D73" s="158"/>
      <c r="E73" s="158"/>
      <c r="F73" s="158"/>
      <c r="G73" s="126"/>
      <c r="H73" s="126"/>
    </row>
    <row r="74" spans="2:8">
      <c r="B74" s="81"/>
      <c r="C74" s="81"/>
      <c r="D74" s="81"/>
      <c r="E74" s="81"/>
      <c r="F74" s="81"/>
      <c r="G74" s="81"/>
      <c r="H74" s="81"/>
    </row>
  </sheetData>
  <mergeCells count="91">
    <mergeCell ref="H5:K5"/>
    <mergeCell ref="L5:O5"/>
    <mergeCell ref="A9:A12"/>
    <mergeCell ref="D11:O12"/>
    <mergeCell ref="A15:O15"/>
    <mergeCell ref="A5:A6"/>
    <mergeCell ref="B5:B6"/>
    <mergeCell ref="C5:C6"/>
    <mergeCell ref="D5:F5"/>
    <mergeCell ref="G5:G6"/>
    <mergeCell ref="A24:O24"/>
    <mergeCell ref="B31:E32"/>
    <mergeCell ref="F31:H31"/>
    <mergeCell ref="B33:E33"/>
    <mergeCell ref="B34:E34"/>
    <mergeCell ref="B36:H36"/>
    <mergeCell ref="C37:F37"/>
    <mergeCell ref="G37:H37"/>
    <mergeCell ref="B38:B39"/>
    <mergeCell ref="C38:D38"/>
    <mergeCell ref="E38:F38"/>
    <mergeCell ref="C39:D39"/>
    <mergeCell ref="E39:F39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C53:D53"/>
    <mergeCell ref="E53:F53"/>
    <mergeCell ref="C54:D54"/>
    <mergeCell ref="E54:F54"/>
    <mergeCell ref="C55:D55"/>
    <mergeCell ref="E55:F55"/>
    <mergeCell ref="C56:D56"/>
    <mergeCell ref="E56:F56"/>
    <mergeCell ref="C57:D57"/>
    <mergeCell ref="E57:F57"/>
    <mergeCell ref="C58:D58"/>
    <mergeCell ref="E58:F58"/>
    <mergeCell ref="C59:D59"/>
    <mergeCell ref="E59:F59"/>
    <mergeCell ref="C60:D60"/>
    <mergeCell ref="E60:F60"/>
    <mergeCell ref="C61:D61"/>
    <mergeCell ref="E61:F61"/>
    <mergeCell ref="C62:D62"/>
    <mergeCell ref="E62:F62"/>
    <mergeCell ref="C63:D63"/>
    <mergeCell ref="E63:F63"/>
    <mergeCell ref="C64:D64"/>
    <mergeCell ref="E64:F64"/>
    <mergeCell ref="C65:D65"/>
    <mergeCell ref="E65:F65"/>
    <mergeCell ref="C66:D66"/>
    <mergeCell ref="E66:F66"/>
    <mergeCell ref="C67:D67"/>
    <mergeCell ref="E67:F67"/>
    <mergeCell ref="C68:D68"/>
    <mergeCell ref="E68:F68"/>
    <mergeCell ref="C69:D69"/>
    <mergeCell ref="E69:F69"/>
    <mergeCell ref="C73:D73"/>
    <mergeCell ref="E73:F73"/>
    <mergeCell ref="C70:D70"/>
    <mergeCell ref="E70:F70"/>
    <mergeCell ref="C71:D71"/>
    <mergeCell ref="E71:F71"/>
    <mergeCell ref="C72:D72"/>
    <mergeCell ref="E72:F72"/>
  </mergeCells>
  <pageMargins left="0.23611111111111099" right="0.23611111111111099" top="0.74791666666666701" bottom="0.74791666666666701" header="0.51180555555555496" footer="0.51180555555555496"/>
  <pageSetup paperSize="9" scale="75" firstPageNumber="0" orientation="landscape" horizontalDpi="300" verticalDpi="300" r:id="rId1"/>
  <rowBreaks count="1" manualBreakCount="1">
    <brk id="3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AMJ37"/>
  <sheetViews>
    <sheetView view="pageBreakPreview" workbookViewId="0">
      <selection activeCell="A20" sqref="A20"/>
    </sheetView>
  </sheetViews>
  <sheetFormatPr defaultColWidth="9.109375" defaultRowHeight="14.4"/>
  <cols>
    <col min="1" max="1" width="23.5546875" style="1" customWidth="1"/>
    <col min="2" max="5" width="9.109375" style="1"/>
    <col min="6" max="6" width="10.44140625" style="1" customWidth="1"/>
    <col min="7" max="7" width="11.88671875" style="1" customWidth="1"/>
    <col min="8" max="1024" width="9.109375" style="1"/>
  </cols>
  <sheetData>
    <row r="1" spans="1:35" ht="48" customHeight="1">
      <c r="A1" s="138" t="s">
        <v>66</v>
      </c>
      <c r="B1" s="138"/>
      <c r="C1" s="138"/>
      <c r="D1" s="138"/>
      <c r="E1" s="138"/>
      <c r="F1" s="138"/>
      <c r="G1" s="138"/>
    </row>
    <row r="2" spans="1:35" ht="30.75" customHeight="1">
      <c r="A2" s="36" t="s">
        <v>67</v>
      </c>
      <c r="B2" s="139" t="s">
        <v>68</v>
      </c>
      <c r="C2" s="139"/>
      <c r="D2" s="139"/>
      <c r="E2" s="139"/>
      <c r="F2" s="140" t="s">
        <v>69</v>
      </c>
      <c r="G2" s="140"/>
    </row>
    <row r="3" spans="1:35" ht="25.5" customHeight="1">
      <c r="A3" s="139"/>
      <c r="B3" s="139" t="s">
        <v>70</v>
      </c>
      <c r="C3" s="139"/>
      <c r="D3" s="139" t="s">
        <v>71</v>
      </c>
      <c r="E3" s="139"/>
      <c r="F3" s="36" t="s">
        <v>70</v>
      </c>
      <c r="G3" s="36" t="s">
        <v>71</v>
      </c>
    </row>
    <row r="4" spans="1:35" ht="15" customHeight="1">
      <c r="A4" s="139"/>
      <c r="B4" s="139" t="s">
        <v>72</v>
      </c>
      <c r="C4" s="139"/>
      <c r="D4" s="139" t="s">
        <v>72</v>
      </c>
      <c r="E4" s="139"/>
      <c r="F4" s="36" t="s">
        <v>72</v>
      </c>
      <c r="G4" s="36" t="s">
        <v>72</v>
      </c>
    </row>
    <row r="5" spans="1:35" ht="26.4">
      <c r="A5" s="38" t="s">
        <v>73</v>
      </c>
      <c r="B5" s="135">
        <v>80</v>
      </c>
      <c r="C5" s="135"/>
      <c r="D5" s="135">
        <v>80</v>
      </c>
      <c r="E5" s="135"/>
      <c r="F5" s="39">
        <v>40</v>
      </c>
      <c r="G5" s="39">
        <v>40</v>
      </c>
    </row>
    <row r="6" spans="1:35">
      <c r="A6" s="38" t="s">
        <v>42</v>
      </c>
      <c r="B6" s="135">
        <v>150</v>
      </c>
      <c r="C6" s="135"/>
      <c r="D6" s="135">
        <v>150</v>
      </c>
      <c r="E6" s="135"/>
      <c r="F6" s="39">
        <f>(70+100+103+78+90+90+70+90+118)/10</f>
        <v>80.900000000000006</v>
      </c>
      <c r="G6" s="39">
        <f>(70+100+103+78+90+90+70+90+118)/10</f>
        <v>80.900000000000006</v>
      </c>
    </row>
    <row r="7" spans="1:35">
      <c r="A7" s="38" t="s">
        <v>74</v>
      </c>
      <c r="B7" s="135">
        <v>15</v>
      </c>
      <c r="C7" s="135"/>
      <c r="D7" s="135">
        <v>15</v>
      </c>
      <c r="E7" s="135"/>
      <c r="F7" s="39">
        <f>(2+89.5+15.6+44.79+9.55+35.71+20.5+18.25+9.6)/10</f>
        <v>24.55</v>
      </c>
      <c r="G7" s="39">
        <v>24.55</v>
      </c>
    </row>
    <row r="8" spans="1:35" s="128" customFormat="1">
      <c r="A8" s="38" t="s">
        <v>75</v>
      </c>
      <c r="B8" s="135">
        <v>45</v>
      </c>
      <c r="C8" s="135"/>
      <c r="D8" s="135">
        <v>45</v>
      </c>
      <c r="E8" s="135"/>
      <c r="F8" s="40">
        <f>(31+33+75+44+54+52+75+49)/10</f>
        <v>41.3</v>
      </c>
      <c r="G8" s="40">
        <v>41.3</v>
      </c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</row>
    <row r="9" spans="1:35">
      <c r="A9" s="38" t="s">
        <v>76</v>
      </c>
      <c r="B9" s="135">
        <v>15</v>
      </c>
      <c r="C9" s="135"/>
      <c r="D9" s="135">
        <v>15</v>
      </c>
      <c r="E9" s="135"/>
      <c r="F9" s="39">
        <f>(52.5+10+10+52.5+10)/10</f>
        <v>13.5</v>
      </c>
      <c r="G9" s="39">
        <v>13.5</v>
      </c>
    </row>
    <row r="10" spans="1:35" ht="15" customHeight="1">
      <c r="A10" s="38" t="s">
        <v>77</v>
      </c>
      <c r="B10" s="135" t="s">
        <v>78</v>
      </c>
      <c r="C10" s="135"/>
      <c r="D10" s="136">
        <v>188</v>
      </c>
      <c r="E10" s="136"/>
      <c r="F10" s="39">
        <f>(253.3+33.25+27+40+82.3+238+40+53.4+226.9+100)/10</f>
        <v>109.41500000000001</v>
      </c>
      <c r="G10" s="39">
        <f>(75+170+40+30+179+82.3+30+20+25+190)/10</f>
        <v>84.13</v>
      </c>
    </row>
    <row r="11" spans="1:35" ht="15" customHeight="1">
      <c r="A11" s="38" t="s">
        <v>79</v>
      </c>
      <c r="B11" s="135">
        <v>350</v>
      </c>
      <c r="C11" s="135"/>
      <c r="D11" s="135" t="s">
        <v>80</v>
      </c>
      <c r="E11" s="135"/>
      <c r="F11" s="39">
        <f>(120.3+303.6+221.35+227.85+124.3+138.85+207.85+272.2+249.95+121.05)/10</f>
        <v>198.73</v>
      </c>
      <c r="G11" s="39">
        <f>(69.75+200+218.5+162+111.4+119+121.5+178.9+243.5+88.5)/10</f>
        <v>151.30500000000001</v>
      </c>
    </row>
    <row r="12" spans="1:35" ht="15" customHeight="1">
      <c r="A12" s="38" t="s">
        <v>81</v>
      </c>
      <c r="B12" s="135">
        <v>200</v>
      </c>
      <c r="C12" s="135"/>
      <c r="D12" s="135" t="s">
        <v>82</v>
      </c>
      <c r="E12" s="135"/>
      <c r="F12" s="39">
        <f>(100+135.7+100+135+145.4+134+135.7+135+129+135.7)/10</f>
        <v>128.55000000000001</v>
      </c>
      <c r="G12" s="39">
        <f>(125+129+128+135.7+130+145.4+128.2+100+125+100)/10</f>
        <v>124.63</v>
      </c>
    </row>
    <row r="13" spans="1:35" ht="26.4">
      <c r="A13" s="38" t="s">
        <v>83</v>
      </c>
      <c r="B13" s="135">
        <v>15</v>
      </c>
      <c r="C13" s="135"/>
      <c r="D13" s="135">
        <v>15</v>
      </c>
      <c r="E13" s="135"/>
      <c r="F13" s="39">
        <f>(20.1+5.1+25.6+25.6)/10</f>
        <v>7.6400000000000006</v>
      </c>
      <c r="G13" s="39">
        <f>(37+10+10+37+5+20.1)/10</f>
        <v>11.91</v>
      </c>
    </row>
    <row r="14" spans="1:35" ht="52.8">
      <c r="A14" s="38" t="s">
        <v>84</v>
      </c>
      <c r="B14" s="135">
        <v>200</v>
      </c>
      <c r="C14" s="135"/>
      <c r="D14" s="135">
        <v>200</v>
      </c>
      <c r="E14" s="135"/>
      <c r="F14" s="39">
        <f>(200+200+200+200+200)/10</f>
        <v>100</v>
      </c>
      <c r="G14" s="39">
        <v>100</v>
      </c>
    </row>
    <row r="15" spans="1:35" ht="25.5" customHeight="1">
      <c r="A15" s="38" t="s">
        <v>85</v>
      </c>
      <c r="B15" s="135" t="s">
        <v>86</v>
      </c>
      <c r="C15" s="135"/>
      <c r="D15" s="135">
        <v>70</v>
      </c>
      <c r="E15" s="135"/>
      <c r="F15" s="39">
        <f>(92+40+121+150+121+40+150)/10</f>
        <v>71.400000000000006</v>
      </c>
      <c r="G15" s="39">
        <f>(106+25+96+106+96+25+63)/10</f>
        <v>51.7</v>
      </c>
    </row>
    <row r="16" spans="1:35" ht="38.25" customHeight="1">
      <c r="A16" s="38" t="s">
        <v>87</v>
      </c>
      <c r="B16" s="135" t="s">
        <v>88</v>
      </c>
      <c r="C16" s="135"/>
      <c r="D16" s="135">
        <v>35</v>
      </c>
      <c r="E16" s="135"/>
      <c r="F16" s="39">
        <f>(182+40+125)/10</f>
        <v>34.700000000000003</v>
      </c>
      <c r="G16" s="39">
        <f>(60+25+153)/10</f>
        <v>23.8</v>
      </c>
    </row>
    <row r="17" spans="1:7">
      <c r="A17" s="38" t="s">
        <v>89</v>
      </c>
      <c r="B17" s="135">
        <v>60</v>
      </c>
      <c r="C17" s="135"/>
      <c r="D17" s="135">
        <v>58</v>
      </c>
      <c r="E17" s="135"/>
      <c r="F17" s="39">
        <f>(90+246+123)/10</f>
        <v>45.9</v>
      </c>
      <c r="G17" s="39">
        <f>(61+124+66)/10</f>
        <v>25.1</v>
      </c>
    </row>
    <row r="18" spans="1:7">
      <c r="A18" s="38" t="s">
        <v>90</v>
      </c>
      <c r="B18" s="135">
        <v>15</v>
      </c>
      <c r="C18" s="135"/>
      <c r="D18" s="135">
        <v>14.7</v>
      </c>
      <c r="E18" s="135"/>
      <c r="F18" s="39">
        <v>0</v>
      </c>
      <c r="G18" s="39">
        <v>0</v>
      </c>
    </row>
    <row r="19" spans="1:7" ht="26.4">
      <c r="A19" s="38" t="s">
        <v>91</v>
      </c>
      <c r="B19" s="135">
        <v>300</v>
      </c>
      <c r="C19" s="135"/>
      <c r="D19" s="135">
        <v>300</v>
      </c>
      <c r="E19" s="135"/>
      <c r="F19" s="39">
        <f>(435+176+411+100+411+150+125.92+162+102+411)/10</f>
        <v>248.392</v>
      </c>
      <c r="G19" s="39">
        <f>(400+100.5+162+125.92+150+400+100+400+176+446.5)/10</f>
        <v>246.09200000000001</v>
      </c>
    </row>
    <row r="20" spans="1:7" ht="39.6">
      <c r="A20" s="38" t="s">
        <v>92</v>
      </c>
      <c r="B20" s="135">
        <v>150</v>
      </c>
      <c r="C20" s="135"/>
      <c r="D20" s="135">
        <v>150</v>
      </c>
      <c r="E20" s="135"/>
      <c r="F20" s="39">
        <f>(206+237+206+207+206+207)/10</f>
        <v>126.9</v>
      </c>
      <c r="G20" s="39">
        <f>(200+200+200+200+230+200)/10</f>
        <v>123</v>
      </c>
    </row>
    <row r="21" spans="1:7" ht="26.4">
      <c r="A21" s="38" t="s">
        <v>93</v>
      </c>
      <c r="B21" s="135">
        <v>50</v>
      </c>
      <c r="C21" s="135"/>
      <c r="D21" s="135">
        <v>50</v>
      </c>
      <c r="E21" s="135"/>
      <c r="F21" s="39">
        <f>(83.7+113.7)/10</f>
        <v>19.740000000000002</v>
      </c>
      <c r="G21" s="39">
        <f>(112+82)/10</f>
        <v>19.399999999999999</v>
      </c>
    </row>
    <row r="22" spans="1:7">
      <c r="A22" s="38" t="s">
        <v>94</v>
      </c>
      <c r="B22" s="135">
        <v>10</v>
      </c>
      <c r="C22" s="135"/>
      <c r="D22" s="135">
        <v>9.8000000000000007</v>
      </c>
      <c r="E22" s="135"/>
      <c r="F22" s="39">
        <f>(16+16+16)/10</f>
        <v>4.8</v>
      </c>
      <c r="G22" s="39">
        <f>(15+15+15)/10</f>
        <v>4.5</v>
      </c>
    </row>
    <row r="23" spans="1:7" ht="26.4">
      <c r="A23" s="38" t="s">
        <v>95</v>
      </c>
      <c r="B23" s="135">
        <v>10</v>
      </c>
      <c r="C23" s="135"/>
      <c r="D23" s="135">
        <v>10</v>
      </c>
      <c r="E23" s="135"/>
      <c r="F23" s="41">
        <f>(12.5+12.5+12.5+22)/10</f>
        <v>5.95</v>
      </c>
      <c r="G23" s="41">
        <v>5.95</v>
      </c>
    </row>
    <row r="24" spans="1:7">
      <c r="A24" s="38" t="s">
        <v>43</v>
      </c>
      <c r="B24" s="135">
        <v>30</v>
      </c>
      <c r="C24" s="135"/>
      <c r="D24" s="135">
        <v>30</v>
      </c>
      <c r="E24" s="135"/>
      <c r="F24" s="39">
        <f>(25.75+20+28.9+30+20.3+40.75+39.12+31.6+15.25+19.5)/10</f>
        <v>27.116999999999997</v>
      </c>
      <c r="G24" s="39">
        <v>27.12</v>
      </c>
    </row>
    <row r="25" spans="1:7">
      <c r="A25" s="38" t="s">
        <v>96</v>
      </c>
      <c r="B25" s="135">
        <v>15</v>
      </c>
      <c r="C25" s="135"/>
      <c r="D25" s="135">
        <v>15</v>
      </c>
      <c r="E25" s="135"/>
      <c r="F25" s="39">
        <f>(10+24+14.15+5+12.32+15.7+15+17+27+10)/10</f>
        <v>15.017000000000001</v>
      </c>
      <c r="G25" s="39">
        <v>15.02</v>
      </c>
    </row>
    <row r="26" spans="1:7" ht="15" customHeight="1">
      <c r="A26" s="38" t="s">
        <v>97</v>
      </c>
      <c r="B26" s="135" t="s">
        <v>98</v>
      </c>
      <c r="C26" s="135"/>
      <c r="D26" s="135">
        <v>40</v>
      </c>
      <c r="E26" s="135"/>
      <c r="F26" s="39">
        <f>(2.1+3+40+1.6+80.1+40+81.4+9.9+2.1)/10</f>
        <v>26.020000000000003</v>
      </c>
      <c r="G26" s="39">
        <f>26.02</f>
        <v>26.02</v>
      </c>
    </row>
    <row r="27" spans="1:7">
      <c r="A27" s="38" t="s">
        <v>99</v>
      </c>
      <c r="B27" s="135">
        <v>40</v>
      </c>
      <c r="C27" s="135"/>
      <c r="D27" s="136">
        <v>40</v>
      </c>
      <c r="E27" s="136"/>
      <c r="F27" s="39">
        <f>(26+10.75+32.15+32.7+36.6+24.35+54.3+39.5+30+46.36+6)/10</f>
        <v>33.871000000000002</v>
      </c>
      <c r="G27" s="39">
        <v>33.869999999999997</v>
      </c>
    </row>
    <row r="28" spans="1:7">
      <c r="A28" s="38" t="s">
        <v>100</v>
      </c>
      <c r="B28" s="136">
        <v>10</v>
      </c>
      <c r="C28" s="136"/>
      <c r="D28" s="135">
        <v>10</v>
      </c>
      <c r="E28" s="135"/>
      <c r="F28" s="39">
        <f>(20+20+20+15)/10</f>
        <v>7.5</v>
      </c>
      <c r="G28" s="39">
        <v>7.5</v>
      </c>
    </row>
    <row r="29" spans="1:7">
      <c r="A29" s="38" t="s">
        <v>101</v>
      </c>
      <c r="B29" s="135">
        <v>0.4</v>
      </c>
      <c r="C29" s="135"/>
      <c r="D29" s="135">
        <v>0.4</v>
      </c>
      <c r="E29" s="135"/>
      <c r="F29" s="39">
        <f>(0.5+0.5+0.5+0.5)/10</f>
        <v>0.2</v>
      </c>
      <c r="G29" s="39">
        <v>0.2</v>
      </c>
    </row>
    <row r="30" spans="1:7">
      <c r="A30" s="38" t="s">
        <v>102</v>
      </c>
      <c r="B30" s="135">
        <v>1.2</v>
      </c>
      <c r="C30" s="135"/>
      <c r="D30" s="135">
        <v>1.2</v>
      </c>
      <c r="E30" s="135"/>
      <c r="F30" s="39">
        <f>(4+4)/10</f>
        <v>0.8</v>
      </c>
      <c r="G30" s="39">
        <v>0.8</v>
      </c>
    </row>
    <row r="31" spans="1:7">
      <c r="A31" s="38" t="s">
        <v>103</v>
      </c>
      <c r="B31" s="135">
        <v>1</v>
      </c>
      <c r="C31" s="135"/>
      <c r="D31" s="135">
        <v>1</v>
      </c>
      <c r="E31" s="135"/>
      <c r="F31" s="39">
        <f>(0.1+0.56+0.5+0.1+0.1+2.25)/10</f>
        <v>0.36100000000000004</v>
      </c>
      <c r="G31" s="39">
        <v>0.36</v>
      </c>
    </row>
    <row r="32" spans="1:7">
      <c r="A32" s="38" t="s">
        <v>104</v>
      </c>
      <c r="B32" s="135">
        <v>5</v>
      </c>
      <c r="C32" s="135"/>
      <c r="D32" s="135">
        <v>5</v>
      </c>
      <c r="E32" s="135"/>
      <c r="F32" s="39">
        <f>(3.3+3.1+3+3.03+3.2+3.8+3.56+3+3+5)/10</f>
        <v>3.3989999999999996</v>
      </c>
      <c r="G32" s="39">
        <v>3.4</v>
      </c>
    </row>
    <row r="34" spans="1:8" ht="39" customHeight="1">
      <c r="A34" s="137" t="s">
        <v>56</v>
      </c>
      <c r="B34" s="137"/>
      <c r="C34" s="137"/>
      <c r="D34" s="137"/>
      <c r="E34" s="142" t="s">
        <v>57</v>
      </c>
      <c r="F34" s="142"/>
      <c r="G34" s="142"/>
      <c r="H34" s="31" t="s">
        <v>58</v>
      </c>
    </row>
    <row r="35" spans="1:8">
      <c r="A35" s="137"/>
      <c r="B35" s="137"/>
      <c r="C35" s="137"/>
      <c r="D35" s="137"/>
      <c r="E35" s="30" t="s">
        <v>28</v>
      </c>
      <c r="F35" s="30" t="s">
        <v>29</v>
      </c>
      <c r="G35" s="30" t="s">
        <v>30</v>
      </c>
      <c r="H35" s="32"/>
    </row>
    <row r="36" spans="1:8" ht="15.75" customHeight="1">
      <c r="A36" s="137" t="s">
        <v>59</v>
      </c>
      <c r="B36" s="137"/>
      <c r="C36" s="137"/>
      <c r="D36" s="137"/>
      <c r="E36" s="30" t="s">
        <v>60</v>
      </c>
      <c r="F36" s="30" t="s">
        <v>61</v>
      </c>
      <c r="G36" s="30" t="s">
        <v>62</v>
      </c>
      <c r="H36" s="30" t="s">
        <v>63</v>
      </c>
    </row>
    <row r="37" spans="1:8" ht="15.75" customHeight="1">
      <c r="A37" s="137" t="s">
        <v>158</v>
      </c>
      <c r="B37" s="137"/>
      <c r="C37" s="137"/>
      <c r="D37" s="137"/>
      <c r="E37" s="33">
        <f>(58.91+61.65+54.83+57.92+52.03+59.4+59.44+72.27+47.3+60.35)/10</f>
        <v>58.410000000000004</v>
      </c>
      <c r="F37" s="33">
        <f>(58.73+54.74+80.65+59.08+56.01+67.37+63.16+63.03+47.78+71.64)/10</f>
        <v>62.218999999999994</v>
      </c>
      <c r="G37" s="33">
        <f>(239.73+241.82+191.79+259+215.93+215.28+235.41+234.37+217.14+224.3)/10</f>
        <v>227.477</v>
      </c>
      <c r="H37" s="33">
        <f>(1738.9+1754.78+1715.58+1832.8+1561.06+1704.48+1764.3+1811.58+1514.93+1825.63)/10</f>
        <v>1722.404</v>
      </c>
    </row>
  </sheetData>
  <mergeCells count="68">
    <mergeCell ref="A1:G1"/>
    <mergeCell ref="B2:E2"/>
    <mergeCell ref="F2:G2"/>
    <mergeCell ref="A3:A4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A37:D37"/>
    <mergeCell ref="B32:C32"/>
    <mergeCell ref="D32:E32"/>
    <mergeCell ref="A34:D35"/>
    <mergeCell ref="E34:G34"/>
    <mergeCell ref="A36:D36"/>
  </mergeCells>
  <pageMargins left="0.7" right="0.7" top="0.75" bottom="0.75" header="0.51180555555555496" footer="0.51180555555555496"/>
  <pageSetup paperSize="9" scale="85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J85"/>
  <sheetViews>
    <sheetView view="pageBreakPreview" topLeftCell="A7" zoomScale="90" zoomScalePageLayoutView="90" workbookViewId="0">
      <selection activeCell="B9" sqref="B9"/>
    </sheetView>
  </sheetViews>
  <sheetFormatPr defaultColWidth="9.109375" defaultRowHeight="14.4"/>
  <cols>
    <col min="1" max="1" width="14.6640625" style="8" customWidth="1"/>
    <col min="2" max="2" width="32" style="8" customWidth="1"/>
    <col min="3" max="3" width="9.33203125" style="8" customWidth="1"/>
    <col min="4" max="4" width="11.33203125" style="8" customWidth="1"/>
    <col min="5" max="6" width="9.33203125" style="8" customWidth="1"/>
    <col min="7" max="7" width="12.6640625" style="8" customWidth="1"/>
    <col min="8" max="8" width="10.88671875" style="8" customWidth="1"/>
    <col min="9" max="9" width="10.6640625" style="8" customWidth="1"/>
    <col min="10" max="10" width="9.33203125" style="8" customWidth="1"/>
    <col min="11" max="11" width="11.33203125" style="8" customWidth="1"/>
    <col min="12" max="12" width="12.33203125" style="8" customWidth="1"/>
    <col min="13" max="13" width="10.44140625" style="8" customWidth="1"/>
    <col min="14" max="15" width="9.33203125" style="8" customWidth="1"/>
    <col min="16" max="1024" width="9.109375" style="8"/>
  </cols>
  <sheetData>
    <row r="1" spans="1:15">
      <c r="A1" s="9" t="s">
        <v>14</v>
      </c>
      <c r="B1" s="10" t="s">
        <v>15</v>
      </c>
    </row>
    <row r="2" spans="1:15">
      <c r="A2" s="9" t="s">
        <v>16</v>
      </c>
      <c r="B2" s="10" t="s">
        <v>17</v>
      </c>
    </row>
    <row r="3" spans="1:15">
      <c r="A3" s="9" t="s">
        <v>18</v>
      </c>
      <c r="B3" s="10" t="s">
        <v>19</v>
      </c>
    </row>
    <row r="4" spans="1:15" ht="26.4">
      <c r="A4" s="9" t="s">
        <v>20</v>
      </c>
      <c r="B4" s="10" t="s">
        <v>159</v>
      </c>
    </row>
    <row r="5" spans="1:15" ht="15.75" customHeight="1">
      <c r="A5" s="143" t="s">
        <v>21</v>
      </c>
      <c r="B5" s="143" t="s">
        <v>22</v>
      </c>
      <c r="C5" s="143" t="s">
        <v>23</v>
      </c>
      <c r="D5" s="143" t="s">
        <v>24</v>
      </c>
      <c r="E5" s="143"/>
      <c r="F5" s="143"/>
      <c r="G5" s="143" t="s">
        <v>25</v>
      </c>
      <c r="H5" s="143" t="s">
        <v>26</v>
      </c>
      <c r="I5" s="143"/>
      <c r="J5" s="143"/>
      <c r="K5" s="143"/>
      <c r="L5" s="143" t="s">
        <v>27</v>
      </c>
      <c r="M5" s="143"/>
      <c r="N5" s="143"/>
      <c r="O5" s="143"/>
    </row>
    <row r="6" spans="1:15" ht="24" customHeight="1">
      <c r="A6" s="143"/>
      <c r="B6" s="143"/>
      <c r="C6" s="143"/>
      <c r="D6" s="11" t="s">
        <v>28</v>
      </c>
      <c r="E6" s="11" t="s">
        <v>29</v>
      </c>
      <c r="F6" s="11" t="s">
        <v>30</v>
      </c>
      <c r="G6" s="143"/>
      <c r="H6" s="11" t="s">
        <v>31</v>
      </c>
      <c r="I6" s="11" t="s">
        <v>32</v>
      </c>
      <c r="J6" s="11" t="s">
        <v>33</v>
      </c>
      <c r="K6" s="11" t="s">
        <v>34</v>
      </c>
      <c r="L6" s="11" t="s">
        <v>35</v>
      </c>
      <c r="M6" s="11" t="s">
        <v>36</v>
      </c>
      <c r="N6" s="11" t="s">
        <v>37</v>
      </c>
      <c r="O6" s="11" t="s">
        <v>38</v>
      </c>
    </row>
    <row r="7" spans="1:15" ht="12.75" customHeight="1">
      <c r="A7" s="144" t="s">
        <v>39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</row>
    <row r="8" spans="1:15" ht="27.6">
      <c r="A8" s="12">
        <v>173</v>
      </c>
      <c r="B8" s="13" t="s">
        <v>40</v>
      </c>
      <c r="C8" s="12">
        <v>260</v>
      </c>
      <c r="D8" s="14">
        <v>10.199999999999999</v>
      </c>
      <c r="E8" s="14">
        <v>13.44</v>
      </c>
      <c r="F8" s="14">
        <v>44.5</v>
      </c>
      <c r="G8" s="14">
        <v>330</v>
      </c>
      <c r="H8" s="14">
        <v>0.25</v>
      </c>
      <c r="I8" s="14">
        <v>0.63</v>
      </c>
      <c r="J8" s="14"/>
      <c r="K8" s="14"/>
      <c r="L8" s="14">
        <v>171.67</v>
      </c>
      <c r="M8" s="14"/>
      <c r="N8" s="14">
        <v>84.3</v>
      </c>
      <c r="O8" s="14">
        <v>2.08</v>
      </c>
    </row>
    <row r="9" spans="1:15" ht="27.6">
      <c r="A9" s="145">
        <v>3</v>
      </c>
      <c r="B9" s="13" t="s">
        <v>163</v>
      </c>
      <c r="C9" s="12">
        <v>80</v>
      </c>
      <c r="D9" s="14">
        <v>6.53</v>
      </c>
      <c r="E9" s="14">
        <v>11.91</v>
      </c>
      <c r="F9" s="14">
        <v>12.31</v>
      </c>
      <c r="G9" s="14">
        <v>170.5</v>
      </c>
      <c r="H9" s="14">
        <v>0.06</v>
      </c>
      <c r="I9" s="14">
        <v>0.4</v>
      </c>
      <c r="J9" s="14">
        <v>0.11</v>
      </c>
      <c r="K9" s="14">
        <v>0.85</v>
      </c>
      <c r="L9" s="14">
        <v>259.89999999999998</v>
      </c>
      <c r="M9" s="14">
        <v>162.6</v>
      </c>
      <c r="N9" s="14">
        <v>21.95</v>
      </c>
      <c r="O9" s="14">
        <v>0.62</v>
      </c>
    </row>
    <row r="10" spans="1:15">
      <c r="A10" s="145"/>
      <c r="B10" s="15" t="s">
        <v>42</v>
      </c>
      <c r="C10" s="16">
        <v>40</v>
      </c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</row>
    <row r="11" spans="1:15">
      <c r="A11" s="145"/>
      <c r="B11" s="15" t="s">
        <v>43</v>
      </c>
      <c r="C11" s="16">
        <v>20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</row>
    <row r="12" spans="1:15">
      <c r="A12" s="145"/>
      <c r="B12" s="15" t="s">
        <v>44</v>
      </c>
      <c r="C12" s="16">
        <v>20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</row>
    <row r="13" spans="1:15">
      <c r="A13" s="12">
        <v>382</v>
      </c>
      <c r="B13" s="13" t="s">
        <v>45</v>
      </c>
      <c r="C13" s="12">
        <v>200</v>
      </c>
      <c r="D13" s="14">
        <f>20.39/10*2</f>
        <v>4.0780000000000003</v>
      </c>
      <c r="E13" s="14">
        <f>17.72/10*2</f>
        <v>3.5439999999999996</v>
      </c>
      <c r="F13" s="14">
        <f>87.89/10*2</f>
        <v>17.577999999999999</v>
      </c>
      <c r="G13" s="14">
        <f>593/10*2</f>
        <v>118.6</v>
      </c>
      <c r="H13" s="14"/>
      <c r="I13" s="14">
        <f>7.94/10*2</f>
        <v>1.5880000000000001</v>
      </c>
      <c r="J13" s="14"/>
      <c r="K13" s="14"/>
      <c r="L13" s="14">
        <f>761.1/10*2</f>
        <v>152.22</v>
      </c>
      <c r="M13" s="14"/>
      <c r="N13" s="14">
        <v>21.34</v>
      </c>
      <c r="O13" s="14">
        <v>0.48</v>
      </c>
    </row>
    <row r="14" spans="1:15">
      <c r="A14" s="15"/>
      <c r="B14" s="13"/>
      <c r="C14" s="1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>
      <c r="A15" s="17" t="s">
        <v>46</v>
      </c>
      <c r="B15" s="18"/>
      <c r="C15" s="18">
        <v>540</v>
      </c>
      <c r="D15" s="19">
        <v>20.81</v>
      </c>
      <c r="E15" s="19">
        <v>28.89</v>
      </c>
      <c r="F15" s="19">
        <v>74.39</v>
      </c>
      <c r="G15" s="19">
        <v>619.1</v>
      </c>
      <c r="H15" s="20">
        <v>0.31</v>
      </c>
      <c r="I15" s="20">
        <v>2.62</v>
      </c>
      <c r="J15" s="20">
        <v>0.11</v>
      </c>
      <c r="K15" s="20">
        <v>0.85</v>
      </c>
      <c r="L15" s="20">
        <v>583.79</v>
      </c>
      <c r="M15" s="20">
        <v>162.6</v>
      </c>
      <c r="N15" s="20">
        <v>127.59</v>
      </c>
      <c r="O15" s="20">
        <v>3.18</v>
      </c>
    </row>
    <row r="16" spans="1:15" ht="15" customHeight="1">
      <c r="A16" s="141" t="s">
        <v>47</v>
      </c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</row>
    <row r="17" spans="1:15">
      <c r="A17" s="12"/>
      <c r="B17" s="13"/>
      <c r="C17" s="1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27.6">
      <c r="A18" s="12">
        <v>140</v>
      </c>
      <c r="B18" s="13" t="s">
        <v>48</v>
      </c>
      <c r="C18" s="12">
        <v>250</v>
      </c>
      <c r="D18" s="14">
        <v>6.7</v>
      </c>
      <c r="E18" s="14">
        <v>3.56</v>
      </c>
      <c r="F18" s="14">
        <v>12.46</v>
      </c>
      <c r="G18" s="14">
        <v>128.04</v>
      </c>
      <c r="H18" s="14">
        <v>0.09</v>
      </c>
      <c r="I18" s="14">
        <v>2</v>
      </c>
      <c r="J18" s="14">
        <v>0.05</v>
      </c>
      <c r="K18" s="14">
        <v>1.81</v>
      </c>
      <c r="L18" s="14">
        <v>88.36</v>
      </c>
      <c r="M18" s="14"/>
      <c r="N18" s="14">
        <v>21.6</v>
      </c>
      <c r="O18" s="14">
        <v>2.13</v>
      </c>
    </row>
    <row r="19" spans="1:15" ht="27.6">
      <c r="A19" s="12">
        <v>309</v>
      </c>
      <c r="B19" s="13" t="s">
        <v>49</v>
      </c>
      <c r="C19" s="12">
        <v>180</v>
      </c>
      <c r="D19" s="14">
        <v>1.5</v>
      </c>
      <c r="E19" s="14">
        <v>2.96</v>
      </c>
      <c r="F19" s="14">
        <v>21.63</v>
      </c>
      <c r="G19" s="14">
        <v>193.68</v>
      </c>
      <c r="H19" s="14"/>
      <c r="I19" s="14"/>
      <c r="J19" s="14"/>
      <c r="K19" s="14"/>
      <c r="L19" s="14">
        <v>5.63</v>
      </c>
      <c r="M19" s="14"/>
      <c r="N19" s="14">
        <v>1.61</v>
      </c>
      <c r="O19" s="14">
        <v>0.51</v>
      </c>
    </row>
    <row r="20" spans="1:15" ht="41.4">
      <c r="A20" s="12">
        <v>17</v>
      </c>
      <c r="B20" s="13" t="s">
        <v>50</v>
      </c>
      <c r="C20" s="12">
        <v>160</v>
      </c>
      <c r="D20" s="14">
        <v>27.84</v>
      </c>
      <c r="E20" s="14">
        <v>20.16</v>
      </c>
      <c r="F20" s="14">
        <v>1.6</v>
      </c>
      <c r="G20" s="14">
        <v>473.6</v>
      </c>
      <c r="H20" s="14"/>
      <c r="I20" s="14"/>
      <c r="J20" s="14"/>
      <c r="K20" s="14"/>
      <c r="L20" s="14">
        <v>144.6</v>
      </c>
      <c r="M20" s="14"/>
      <c r="N20" s="14">
        <v>20.8</v>
      </c>
      <c r="O20" s="14">
        <v>1.6</v>
      </c>
    </row>
    <row r="21" spans="1:15">
      <c r="A21" s="12">
        <v>342</v>
      </c>
      <c r="B21" s="13" t="s">
        <v>51</v>
      </c>
      <c r="C21" s="12">
        <v>200</v>
      </c>
      <c r="D21" s="14">
        <v>0.16</v>
      </c>
      <c r="E21" s="14">
        <v>0.16</v>
      </c>
      <c r="F21" s="14">
        <v>27.88</v>
      </c>
      <c r="G21" s="14">
        <v>114.6</v>
      </c>
      <c r="H21" s="14">
        <v>0.06</v>
      </c>
      <c r="I21" s="14">
        <v>0.9</v>
      </c>
      <c r="J21" s="14"/>
      <c r="K21" s="14">
        <v>0.08</v>
      </c>
      <c r="L21" s="14">
        <v>14.18</v>
      </c>
      <c r="M21" s="14">
        <v>4.4000000000000004</v>
      </c>
      <c r="N21" s="14">
        <v>5.14</v>
      </c>
      <c r="O21" s="14">
        <v>0.95</v>
      </c>
    </row>
    <row r="22" spans="1:15">
      <c r="A22" s="15">
        <v>701</v>
      </c>
      <c r="B22" s="13" t="s">
        <v>52</v>
      </c>
      <c r="C22" s="12">
        <v>40</v>
      </c>
      <c r="D22" s="14">
        <v>3.8</v>
      </c>
      <c r="E22" s="14">
        <v>0.45</v>
      </c>
      <c r="F22" s="14">
        <v>23.35</v>
      </c>
      <c r="G22" s="14">
        <v>114.6</v>
      </c>
      <c r="H22" s="14">
        <v>0.05</v>
      </c>
      <c r="I22" s="14"/>
      <c r="J22" s="14"/>
      <c r="K22" s="14"/>
      <c r="L22" s="14">
        <v>9.3000000000000007</v>
      </c>
      <c r="M22" s="14"/>
      <c r="N22" s="14"/>
      <c r="O22" s="14" t="s">
        <v>53</v>
      </c>
    </row>
    <row r="23" spans="1:15">
      <c r="A23" s="15">
        <v>701</v>
      </c>
      <c r="B23" s="13" t="s">
        <v>42</v>
      </c>
      <c r="C23" s="12">
        <v>40</v>
      </c>
      <c r="D23" s="14">
        <v>3.04</v>
      </c>
      <c r="E23" s="14">
        <v>0.36</v>
      </c>
      <c r="F23" s="14">
        <v>18.68</v>
      </c>
      <c r="G23" s="14">
        <v>85.44</v>
      </c>
      <c r="H23" s="14">
        <v>0.05</v>
      </c>
      <c r="I23" s="14"/>
      <c r="J23" s="14"/>
      <c r="K23" s="14"/>
      <c r="L23" s="14">
        <v>9.3000000000000007</v>
      </c>
      <c r="M23" s="14"/>
      <c r="N23" s="14"/>
      <c r="O23" s="14">
        <v>0.62</v>
      </c>
    </row>
    <row r="24" spans="1:15">
      <c r="A24" s="17" t="s">
        <v>46</v>
      </c>
      <c r="B24" s="18"/>
      <c r="C24" s="18">
        <v>870</v>
      </c>
      <c r="D24" s="21">
        <v>43.04</v>
      </c>
      <c r="E24" s="21">
        <v>27.65</v>
      </c>
      <c r="F24" s="21">
        <v>105.6</v>
      </c>
      <c r="G24" s="21">
        <v>1109.96</v>
      </c>
      <c r="H24" s="19">
        <v>0.5</v>
      </c>
      <c r="I24" s="19">
        <v>2.9</v>
      </c>
      <c r="J24" s="19">
        <v>0.05</v>
      </c>
      <c r="K24" s="19">
        <v>1.89</v>
      </c>
      <c r="L24" s="19">
        <v>271.37</v>
      </c>
      <c r="M24" s="19">
        <v>4.4000000000000004</v>
      </c>
      <c r="N24" s="19">
        <v>49.15</v>
      </c>
      <c r="O24" s="19">
        <v>6.43</v>
      </c>
    </row>
    <row r="25" spans="1:15" ht="15" customHeight="1">
      <c r="A25" s="141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</row>
    <row r="26" spans="1:15" s="26" customFormat="1" ht="13.8">
      <c r="A26" s="22"/>
      <c r="B26" s="23"/>
      <c r="C26" s="22"/>
      <c r="D26" s="24"/>
      <c r="E26" s="25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 ht="18.75" customHeight="1">
      <c r="A27" s="12"/>
      <c r="B27" s="13"/>
      <c r="C27" s="12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>
      <c r="A28" s="12"/>
      <c r="B28" s="13"/>
      <c r="C28" s="1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>
      <c r="A29" s="17" t="s">
        <v>54</v>
      </c>
      <c r="B29" s="18"/>
      <c r="C29" s="18">
        <v>1410</v>
      </c>
      <c r="D29" s="21">
        <v>63.85</v>
      </c>
      <c r="E29" s="21">
        <v>56.54</v>
      </c>
      <c r="F29" s="21">
        <v>179.99</v>
      </c>
      <c r="G29" s="21">
        <v>1729.06</v>
      </c>
      <c r="H29" s="19">
        <v>0.81</v>
      </c>
      <c r="I29" s="19">
        <v>5.52</v>
      </c>
      <c r="J29" s="19">
        <v>0.16</v>
      </c>
      <c r="K29" s="19">
        <v>2.74</v>
      </c>
      <c r="L29" s="19">
        <v>855.16</v>
      </c>
      <c r="M29" s="19">
        <v>167</v>
      </c>
      <c r="N29" s="19">
        <v>176.74</v>
      </c>
      <c r="O29" s="19">
        <v>9.61</v>
      </c>
    </row>
    <row r="30" spans="1:15">
      <c r="A30" s="27" t="s">
        <v>55</v>
      </c>
      <c r="B30" s="28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2" spans="1:15" ht="39" customHeight="1">
      <c r="B32" s="137" t="s">
        <v>56</v>
      </c>
      <c r="C32" s="137"/>
      <c r="D32" s="137"/>
      <c r="E32" s="137"/>
      <c r="F32" s="142" t="s">
        <v>57</v>
      </c>
      <c r="G32" s="142"/>
      <c r="H32" s="142"/>
      <c r="I32" s="31" t="s">
        <v>58</v>
      </c>
      <c r="K32" s="9" t="s">
        <v>14</v>
      </c>
      <c r="L32" s="10" t="s">
        <v>15</v>
      </c>
    </row>
    <row r="33" spans="2:15">
      <c r="B33" s="137"/>
      <c r="C33" s="137"/>
      <c r="D33" s="137"/>
      <c r="E33" s="137"/>
      <c r="F33" s="30" t="s">
        <v>28</v>
      </c>
      <c r="G33" s="30" t="s">
        <v>29</v>
      </c>
      <c r="H33" s="30" t="s">
        <v>30</v>
      </c>
      <c r="I33" s="32"/>
      <c r="K33" s="9" t="s">
        <v>16</v>
      </c>
      <c r="L33" s="10" t="s">
        <v>17</v>
      </c>
    </row>
    <row r="34" spans="2:15" ht="26.25" customHeight="1">
      <c r="B34" s="137" t="s">
        <v>59</v>
      </c>
      <c r="C34" s="137"/>
      <c r="D34" s="137"/>
      <c r="E34" s="137"/>
      <c r="F34" s="30" t="s">
        <v>60</v>
      </c>
      <c r="G34" s="30" t="s">
        <v>61</v>
      </c>
      <c r="H34" s="30" t="s">
        <v>62</v>
      </c>
      <c r="I34" s="30" t="s">
        <v>63</v>
      </c>
      <c r="K34" s="9" t="s">
        <v>18</v>
      </c>
      <c r="L34" s="10" t="s">
        <v>19</v>
      </c>
    </row>
    <row r="35" spans="2:15" ht="26.25" customHeight="1">
      <c r="B35" s="137" t="s">
        <v>64</v>
      </c>
      <c r="C35" s="137"/>
      <c r="D35" s="137"/>
      <c r="E35" s="137"/>
      <c r="F35" s="33">
        <f>D30</f>
        <v>0</v>
      </c>
      <c r="G35" s="33">
        <f>E30</f>
        <v>0</v>
      </c>
      <c r="H35" s="33">
        <f>F30</f>
        <v>0</v>
      </c>
      <c r="I35" s="33">
        <f>G30</f>
        <v>0</v>
      </c>
      <c r="K35" s="9" t="s">
        <v>20</v>
      </c>
      <c r="L35" s="10" t="s">
        <v>65</v>
      </c>
    </row>
    <row r="36" spans="2:15">
      <c r="O36" s="34"/>
    </row>
    <row r="37" spans="2:15" ht="28.5" customHeight="1">
      <c r="B37" s="138" t="s">
        <v>66</v>
      </c>
      <c r="C37" s="138"/>
      <c r="D37" s="138"/>
      <c r="E37" s="138"/>
      <c r="F37" s="138"/>
      <c r="G37" s="138"/>
      <c r="H37" s="138"/>
      <c r="I37" s="35"/>
      <c r="J37" s="35"/>
      <c r="K37" s="35"/>
      <c r="L37" s="35"/>
      <c r="M37" s="35"/>
      <c r="N37" s="35"/>
      <c r="O37" s="35"/>
    </row>
    <row r="38" spans="2:15" ht="12.75" customHeight="1">
      <c r="B38" s="36" t="s">
        <v>67</v>
      </c>
      <c r="C38" s="139" t="s">
        <v>68</v>
      </c>
      <c r="D38" s="139"/>
      <c r="E38" s="139"/>
      <c r="F38" s="139"/>
      <c r="G38" s="140" t="s">
        <v>69</v>
      </c>
      <c r="H38" s="140"/>
    </row>
    <row r="39" spans="2:15" ht="25.5" customHeight="1">
      <c r="B39" s="139"/>
      <c r="C39" s="139" t="s">
        <v>70</v>
      </c>
      <c r="D39" s="139"/>
      <c r="E39" s="139" t="s">
        <v>71</v>
      </c>
      <c r="F39" s="139"/>
      <c r="G39" s="36" t="s">
        <v>70</v>
      </c>
      <c r="H39" s="36" t="s">
        <v>71</v>
      </c>
      <c r="J39" s="37"/>
    </row>
    <row r="40" spans="2:15" ht="12.75" customHeight="1">
      <c r="B40" s="139"/>
      <c r="C40" s="139" t="s">
        <v>72</v>
      </c>
      <c r="D40" s="139"/>
      <c r="E40" s="139" t="s">
        <v>72</v>
      </c>
      <c r="F40" s="139"/>
      <c r="G40" s="36" t="s">
        <v>72</v>
      </c>
      <c r="H40" s="36" t="s">
        <v>72</v>
      </c>
    </row>
    <row r="41" spans="2:15">
      <c r="B41" s="38" t="s">
        <v>73</v>
      </c>
      <c r="C41" s="135">
        <v>80</v>
      </c>
      <c r="D41" s="135"/>
      <c r="E41" s="135">
        <v>80</v>
      </c>
      <c r="F41" s="135"/>
      <c r="G41" s="39">
        <f>40</f>
        <v>40</v>
      </c>
      <c r="H41" s="39">
        <v>40</v>
      </c>
    </row>
    <row r="42" spans="2:15">
      <c r="B42" s="38" t="s">
        <v>42</v>
      </c>
      <c r="C42" s="135">
        <v>150</v>
      </c>
      <c r="D42" s="135"/>
      <c r="E42" s="135">
        <v>150</v>
      </c>
      <c r="F42" s="135"/>
      <c r="G42" s="39">
        <f>C10+C23</f>
        <v>80</v>
      </c>
      <c r="H42" s="39">
        <f>70</f>
        <v>70</v>
      </c>
    </row>
    <row r="43" spans="2:15">
      <c r="B43" s="38" t="s">
        <v>74</v>
      </c>
      <c r="C43" s="135">
        <v>15</v>
      </c>
      <c r="D43" s="135"/>
      <c r="E43" s="135">
        <v>15</v>
      </c>
      <c r="F43" s="135"/>
      <c r="G43" s="39">
        <f>2</f>
        <v>2</v>
      </c>
      <c r="H43" s="39">
        <v>2</v>
      </c>
    </row>
    <row r="44" spans="2:15">
      <c r="B44" s="38" t="s">
        <v>75</v>
      </c>
      <c r="C44" s="135">
        <v>45</v>
      </c>
      <c r="D44" s="135"/>
      <c r="E44" s="135">
        <v>45</v>
      </c>
      <c r="F44" s="135"/>
      <c r="G44" s="40">
        <f>44+5</f>
        <v>49</v>
      </c>
      <c r="H44" s="40">
        <v>49</v>
      </c>
    </row>
    <row r="45" spans="2:15">
      <c r="B45" s="38" t="s">
        <v>76</v>
      </c>
      <c r="C45" s="135">
        <v>15</v>
      </c>
      <c r="D45" s="135"/>
      <c r="E45" s="135">
        <v>15</v>
      </c>
      <c r="F45" s="135"/>
      <c r="G45" s="39">
        <v>52.5</v>
      </c>
      <c r="H45" s="39">
        <v>52.5</v>
      </c>
    </row>
    <row r="46" spans="2:15" ht="12.75" customHeight="1">
      <c r="B46" s="38" t="s">
        <v>77</v>
      </c>
      <c r="C46" s="135" t="s">
        <v>78</v>
      </c>
      <c r="D46" s="135"/>
      <c r="E46" s="136">
        <v>188</v>
      </c>
      <c r="F46" s="136"/>
      <c r="G46" s="39">
        <v>100</v>
      </c>
      <c r="H46" s="39">
        <v>75</v>
      </c>
    </row>
    <row r="47" spans="2:15" ht="12.75" customHeight="1">
      <c r="B47" s="38" t="s">
        <v>79</v>
      </c>
      <c r="C47" s="135">
        <v>350</v>
      </c>
      <c r="D47" s="135"/>
      <c r="E47" s="135" t="s">
        <v>80</v>
      </c>
      <c r="F47" s="135"/>
      <c r="G47" s="39">
        <f>16.75+12.5+6+43.8+12+12+3+2.5+12.5</f>
        <v>121.05</v>
      </c>
      <c r="H47" s="39">
        <f>2+2+10+10+10.75+10+15+10</f>
        <v>69.75</v>
      </c>
    </row>
    <row r="48" spans="2:15" ht="12.75" customHeight="1">
      <c r="B48" s="38" t="s">
        <v>81</v>
      </c>
      <c r="C48" s="135">
        <v>200</v>
      </c>
      <c r="D48" s="135"/>
      <c r="E48" s="135" t="s">
        <v>82</v>
      </c>
      <c r="F48" s="135"/>
      <c r="G48" s="39">
        <f>100+35.7</f>
        <v>135.69999999999999</v>
      </c>
      <c r="H48" s="39">
        <f>100+25</f>
        <v>125</v>
      </c>
    </row>
    <row r="49" spans="2:8" ht="26.4">
      <c r="B49" s="38" t="s">
        <v>83</v>
      </c>
      <c r="C49" s="135">
        <v>15</v>
      </c>
      <c r="D49" s="135"/>
      <c r="E49" s="135">
        <v>15</v>
      </c>
      <c r="F49" s="135"/>
      <c r="G49" s="39">
        <v>20</v>
      </c>
      <c r="H49" s="39">
        <v>37</v>
      </c>
    </row>
    <row r="50" spans="2:8" ht="39.6">
      <c r="B50" s="38" t="s">
        <v>84</v>
      </c>
      <c r="C50" s="135">
        <v>200</v>
      </c>
      <c r="D50" s="135"/>
      <c r="E50" s="135">
        <v>200</v>
      </c>
      <c r="F50" s="135"/>
      <c r="G50" s="39"/>
      <c r="H50" s="39"/>
    </row>
    <row r="51" spans="2:8" ht="25.5" customHeight="1">
      <c r="B51" s="38" t="s">
        <v>85</v>
      </c>
      <c r="C51" s="135" t="s">
        <v>86</v>
      </c>
      <c r="D51" s="135"/>
      <c r="E51" s="135">
        <v>70</v>
      </c>
      <c r="F51" s="135"/>
      <c r="G51" s="39">
        <f>150</f>
        <v>150</v>
      </c>
      <c r="H51" s="39">
        <f>81+25</f>
        <v>106</v>
      </c>
    </row>
    <row r="52" spans="2:8" ht="25.5" customHeight="1">
      <c r="B52" s="38" t="s">
        <v>87</v>
      </c>
      <c r="C52" s="135" t="s">
        <v>88</v>
      </c>
      <c r="D52" s="135"/>
      <c r="E52" s="135">
        <v>35</v>
      </c>
      <c r="F52" s="135"/>
      <c r="G52" s="39"/>
      <c r="H52" s="39"/>
    </row>
    <row r="53" spans="2:8">
      <c r="B53" s="38" t="s">
        <v>89</v>
      </c>
      <c r="C53" s="135">
        <v>60</v>
      </c>
      <c r="D53" s="135"/>
      <c r="E53" s="135">
        <v>58</v>
      </c>
      <c r="F53" s="135"/>
      <c r="G53" s="39"/>
      <c r="H53" s="39"/>
    </row>
    <row r="54" spans="2:8">
      <c r="B54" s="38" t="s">
        <v>90</v>
      </c>
      <c r="C54" s="135">
        <v>15</v>
      </c>
      <c r="D54" s="135"/>
      <c r="E54" s="135">
        <v>14.7</v>
      </c>
      <c r="F54" s="135"/>
      <c r="G54" s="39"/>
      <c r="H54" s="39"/>
    </row>
    <row r="55" spans="2:8" ht="26.4">
      <c r="B55" s="38" t="s">
        <v>91</v>
      </c>
      <c r="C55" s="135">
        <v>300</v>
      </c>
      <c r="D55" s="135"/>
      <c r="E55" s="135">
        <v>300</v>
      </c>
      <c r="F55" s="135"/>
      <c r="G55" s="39">
        <f>211+100+100</f>
        <v>411</v>
      </c>
      <c r="H55" s="39">
        <f>200+100+100</f>
        <v>400</v>
      </c>
    </row>
    <row r="56" spans="2:8" ht="26.4">
      <c r="B56" s="38" t="s">
        <v>92</v>
      </c>
      <c r="C56" s="135">
        <v>150</v>
      </c>
      <c r="D56" s="135"/>
      <c r="E56" s="135">
        <v>150</v>
      </c>
      <c r="F56" s="135"/>
      <c r="G56" s="39"/>
      <c r="H56" s="39"/>
    </row>
    <row r="57" spans="2:8" ht="26.4">
      <c r="B57" s="38" t="s">
        <v>93</v>
      </c>
      <c r="C57" s="135">
        <v>50</v>
      </c>
      <c r="D57" s="135"/>
      <c r="E57" s="135">
        <v>50</v>
      </c>
      <c r="F57" s="135"/>
      <c r="G57" s="39"/>
      <c r="H57" s="39"/>
    </row>
    <row r="58" spans="2:8">
      <c r="B58" s="38" t="s">
        <v>94</v>
      </c>
      <c r="C58" s="135">
        <v>10</v>
      </c>
      <c r="D58" s="135"/>
      <c r="E58" s="135">
        <v>9.8000000000000007</v>
      </c>
      <c r="F58" s="135"/>
      <c r="G58" s="39">
        <v>16</v>
      </c>
      <c r="H58" s="39">
        <v>15</v>
      </c>
    </row>
    <row r="59" spans="2:8" ht="26.4">
      <c r="B59" s="38" t="s">
        <v>95</v>
      </c>
      <c r="C59" s="135">
        <v>10</v>
      </c>
      <c r="D59" s="135"/>
      <c r="E59" s="135">
        <v>10</v>
      </c>
      <c r="F59" s="135"/>
      <c r="G59" s="41"/>
      <c r="H59" s="41"/>
    </row>
    <row r="60" spans="2:8">
      <c r="B60" s="38" t="s">
        <v>43</v>
      </c>
      <c r="C60" s="135">
        <v>30</v>
      </c>
      <c r="D60" s="135"/>
      <c r="E60" s="135">
        <v>30</v>
      </c>
      <c r="F60" s="135"/>
      <c r="G60" s="39">
        <f>4.5+5+10</f>
        <v>19.5</v>
      </c>
      <c r="H60" s="39">
        <v>19.5</v>
      </c>
    </row>
    <row r="61" spans="2:8">
      <c r="B61" s="38" t="s">
        <v>96</v>
      </c>
      <c r="C61" s="135">
        <v>15</v>
      </c>
      <c r="D61" s="135"/>
      <c r="E61" s="135">
        <v>15</v>
      </c>
      <c r="F61" s="135"/>
      <c r="G61" s="39">
        <v>10</v>
      </c>
      <c r="H61" s="39">
        <v>10</v>
      </c>
    </row>
    <row r="62" spans="2:8" ht="12.75" customHeight="1">
      <c r="B62" s="38" t="s">
        <v>97</v>
      </c>
      <c r="C62" s="135" t="s">
        <v>98</v>
      </c>
      <c r="D62" s="135"/>
      <c r="E62" s="135">
        <v>40</v>
      </c>
      <c r="F62" s="135"/>
      <c r="G62" s="39">
        <f>2.1</f>
        <v>2.1</v>
      </c>
      <c r="H62" s="39">
        <v>2.1</v>
      </c>
    </row>
    <row r="63" spans="2:8">
      <c r="B63" s="38" t="s">
        <v>99</v>
      </c>
      <c r="C63" s="135">
        <v>40</v>
      </c>
      <c r="D63" s="135"/>
      <c r="E63" s="136">
        <v>40</v>
      </c>
      <c r="F63" s="136"/>
      <c r="G63" s="39">
        <f>20+6</f>
        <v>26</v>
      </c>
      <c r="H63" s="39">
        <v>26</v>
      </c>
    </row>
    <row r="64" spans="2:8">
      <c r="B64" s="38" t="s">
        <v>100</v>
      </c>
      <c r="C64" s="136">
        <v>10</v>
      </c>
      <c r="D64" s="136"/>
      <c r="E64" s="135">
        <v>10</v>
      </c>
      <c r="F64" s="135"/>
      <c r="G64" s="39">
        <v>20</v>
      </c>
      <c r="H64" s="39">
        <v>20</v>
      </c>
    </row>
    <row r="65" spans="2:8">
      <c r="B65" s="38" t="s">
        <v>101</v>
      </c>
      <c r="C65" s="135">
        <v>0.4</v>
      </c>
      <c r="D65" s="135"/>
      <c r="E65" s="135">
        <v>0.4</v>
      </c>
      <c r="F65" s="135"/>
      <c r="G65" s="39"/>
      <c r="H65" s="39"/>
    </row>
    <row r="66" spans="2:8">
      <c r="B66" s="38" t="s">
        <v>102</v>
      </c>
      <c r="C66" s="135">
        <v>1.2</v>
      </c>
      <c r="D66" s="135"/>
      <c r="E66" s="135">
        <v>1.2</v>
      </c>
      <c r="F66" s="135"/>
      <c r="G66" s="39">
        <v>4</v>
      </c>
      <c r="H66" s="39">
        <v>4</v>
      </c>
    </row>
    <row r="67" spans="2:8">
      <c r="B67" s="38" t="s">
        <v>103</v>
      </c>
      <c r="C67" s="135">
        <v>1</v>
      </c>
      <c r="D67" s="135"/>
      <c r="E67" s="135">
        <v>1</v>
      </c>
      <c r="F67" s="135"/>
      <c r="G67" s="39"/>
      <c r="H67" s="39"/>
    </row>
    <row r="68" spans="2:8">
      <c r="B68" s="38" t="s">
        <v>104</v>
      </c>
      <c r="C68" s="135">
        <v>5</v>
      </c>
      <c r="D68" s="135"/>
      <c r="E68" s="135">
        <v>5</v>
      </c>
      <c r="F68" s="135"/>
      <c r="G68" s="39">
        <v>5</v>
      </c>
      <c r="H68" s="39">
        <v>5</v>
      </c>
    </row>
    <row r="77" spans="2:8">
      <c r="B77" s="35"/>
    </row>
    <row r="79" spans="2:8">
      <c r="B79" s="35"/>
    </row>
    <row r="81" spans="2:2">
      <c r="B81" s="35"/>
    </row>
    <row r="83" spans="2:2">
      <c r="B83" s="35"/>
    </row>
    <row r="85" spans="2:2">
      <c r="B85" s="35"/>
    </row>
  </sheetData>
  <mergeCells count="80">
    <mergeCell ref="H5:K5"/>
    <mergeCell ref="L5:O5"/>
    <mergeCell ref="A7:O7"/>
    <mergeCell ref="A9:A12"/>
    <mergeCell ref="D10:O12"/>
    <mergeCell ref="A5:A6"/>
    <mergeCell ref="B5:B6"/>
    <mergeCell ref="C5:C6"/>
    <mergeCell ref="D5:F5"/>
    <mergeCell ref="G5:G6"/>
    <mergeCell ref="A16:O16"/>
    <mergeCell ref="A25:O25"/>
    <mergeCell ref="B32:E33"/>
    <mergeCell ref="F32:H32"/>
    <mergeCell ref="B34:E34"/>
    <mergeCell ref="B35:E35"/>
    <mergeCell ref="B37:H37"/>
    <mergeCell ref="C38:F38"/>
    <mergeCell ref="G38:H38"/>
    <mergeCell ref="B39:B40"/>
    <mergeCell ref="C39:D39"/>
    <mergeCell ref="E39:F39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C53:D53"/>
    <mergeCell ref="E53:F53"/>
    <mergeCell ref="C54:D54"/>
    <mergeCell ref="E54:F54"/>
    <mergeCell ref="C55:D55"/>
    <mergeCell ref="E55:F55"/>
    <mergeCell ref="C56:D56"/>
    <mergeCell ref="E56:F56"/>
    <mergeCell ref="C57:D57"/>
    <mergeCell ref="E57:F57"/>
    <mergeCell ref="C58:D58"/>
    <mergeCell ref="E58:F58"/>
    <mergeCell ref="C59:D59"/>
    <mergeCell ref="E59:F59"/>
    <mergeCell ref="C60:D60"/>
    <mergeCell ref="E60:F60"/>
    <mergeCell ref="C61:D61"/>
    <mergeCell ref="E61:F61"/>
    <mergeCell ref="C62:D62"/>
    <mergeCell ref="E62:F62"/>
    <mergeCell ref="C63:D63"/>
    <mergeCell ref="E63:F63"/>
    <mergeCell ref="C64:D64"/>
    <mergeCell ref="E64:F64"/>
    <mergeCell ref="C68:D68"/>
    <mergeCell ref="E68:F68"/>
    <mergeCell ref="C65:D65"/>
    <mergeCell ref="E65:F65"/>
    <mergeCell ref="C66:D66"/>
    <mergeCell ref="E66:F66"/>
    <mergeCell ref="C67:D67"/>
    <mergeCell ref="E67:F67"/>
  </mergeCells>
  <pageMargins left="0.23611111111111099" right="0.23611111111111099" top="0.74791666666666701" bottom="0.74791666666666701" header="0.51180555555555496" footer="0.51180555555555496"/>
  <pageSetup paperSize="9" scale="70" firstPageNumber="0" orientation="landscape" horizontalDpi="300" verticalDpi="300" r:id="rId1"/>
  <rowBreaks count="1" manualBreakCount="1"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MJ74"/>
  <sheetViews>
    <sheetView view="pageBreakPreview" zoomScale="90" zoomScaleNormal="80" zoomScalePageLayoutView="90" workbookViewId="0">
      <selection activeCell="B14" sqref="B14"/>
    </sheetView>
  </sheetViews>
  <sheetFormatPr defaultColWidth="9.109375" defaultRowHeight="14.4"/>
  <cols>
    <col min="1" max="1" width="13" style="1" customWidth="1"/>
    <col min="2" max="2" width="28.6640625" style="1" customWidth="1"/>
    <col min="3" max="3" width="15.6640625" style="1" customWidth="1"/>
    <col min="4" max="5" width="9.109375" style="1"/>
    <col min="6" max="6" width="9.5546875" style="1" customWidth="1"/>
    <col min="7" max="7" width="13" style="1" customWidth="1"/>
    <col min="8" max="8" width="9.109375" style="1"/>
    <col min="9" max="9" width="9.5546875" style="1" customWidth="1"/>
    <col min="10" max="11" width="9.109375" style="1"/>
    <col min="12" max="14" width="9.5546875" style="1" customWidth="1"/>
    <col min="15" max="15" width="10.6640625" style="1" customWidth="1"/>
    <col min="16" max="1024" width="9.109375" style="1"/>
  </cols>
  <sheetData>
    <row r="1" spans="1:19" ht="15.6">
      <c r="A1" s="42" t="s">
        <v>14</v>
      </c>
      <c r="B1" s="43" t="s">
        <v>105</v>
      </c>
    </row>
    <row r="2" spans="1:19" ht="15.6">
      <c r="A2" s="42" t="s">
        <v>16</v>
      </c>
      <c r="B2" s="43" t="s">
        <v>17</v>
      </c>
    </row>
    <row r="3" spans="1:19" ht="15.6">
      <c r="A3" s="42" t="s">
        <v>18</v>
      </c>
      <c r="B3" s="43" t="s">
        <v>19</v>
      </c>
    </row>
    <row r="4" spans="1:19" ht="31.2">
      <c r="A4" s="42" t="s">
        <v>20</v>
      </c>
      <c r="B4" s="130" t="s">
        <v>161</v>
      </c>
    </row>
    <row r="5" spans="1:19" ht="15.75" customHeight="1">
      <c r="A5" s="150" t="s">
        <v>21</v>
      </c>
      <c r="B5" s="150" t="s">
        <v>22</v>
      </c>
      <c r="C5" s="150" t="s">
        <v>23</v>
      </c>
      <c r="D5" s="150" t="s">
        <v>24</v>
      </c>
      <c r="E5" s="150"/>
      <c r="F5" s="150"/>
      <c r="G5" s="150" t="s">
        <v>25</v>
      </c>
      <c r="H5" s="150" t="s">
        <v>26</v>
      </c>
      <c r="I5" s="150"/>
      <c r="J5" s="150"/>
      <c r="K5" s="150"/>
      <c r="L5" s="150" t="s">
        <v>27</v>
      </c>
      <c r="M5" s="150"/>
      <c r="N5" s="150"/>
      <c r="O5" s="150"/>
    </row>
    <row r="6" spans="1:19" ht="15.6">
      <c r="A6" s="150"/>
      <c r="B6" s="150"/>
      <c r="C6" s="150"/>
      <c r="D6" s="44" t="s">
        <v>28</v>
      </c>
      <c r="E6" s="44" t="s">
        <v>29</v>
      </c>
      <c r="F6" s="44" t="s">
        <v>30</v>
      </c>
      <c r="G6" s="150"/>
      <c r="H6" s="44" t="s">
        <v>106</v>
      </c>
      <c r="I6" s="44" t="s">
        <v>32</v>
      </c>
      <c r="J6" s="44" t="s">
        <v>33</v>
      </c>
      <c r="K6" s="44" t="s">
        <v>34</v>
      </c>
      <c r="L6" s="44" t="s">
        <v>35</v>
      </c>
      <c r="M6" s="44" t="s">
        <v>36</v>
      </c>
      <c r="N6" s="44" t="s">
        <v>37</v>
      </c>
      <c r="O6" s="44" t="s">
        <v>38</v>
      </c>
    </row>
    <row r="7" spans="1:19" ht="18.75" customHeight="1">
      <c r="A7" s="151" t="s">
        <v>39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</row>
    <row r="8" spans="1:19" s="46" customFormat="1" ht="27.6">
      <c r="A8" s="145">
        <v>204</v>
      </c>
      <c r="B8" s="45" t="s">
        <v>107</v>
      </c>
      <c r="C8" s="12">
        <v>260</v>
      </c>
      <c r="D8" s="14">
        <v>12.7</v>
      </c>
      <c r="E8" s="14">
        <v>11.3</v>
      </c>
      <c r="F8" s="14">
        <v>48.1</v>
      </c>
      <c r="G8" s="14">
        <v>347</v>
      </c>
      <c r="H8" s="14">
        <v>0.1</v>
      </c>
      <c r="I8" s="14">
        <v>0.1</v>
      </c>
      <c r="J8" s="14"/>
      <c r="K8" s="14"/>
      <c r="L8" s="14">
        <v>240.2</v>
      </c>
      <c r="M8" s="14">
        <v>176.3</v>
      </c>
      <c r="N8" s="14">
        <v>18.7</v>
      </c>
      <c r="O8" s="14">
        <v>1.5</v>
      </c>
    </row>
    <row r="9" spans="1:19" s="46" customFormat="1" ht="13.8">
      <c r="A9" s="145"/>
      <c r="B9" s="15"/>
      <c r="C9" s="12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</row>
    <row r="10" spans="1:19">
      <c r="A10" s="145">
        <v>8</v>
      </c>
      <c r="B10" s="13" t="s">
        <v>166</v>
      </c>
      <c r="C10" s="47">
        <v>60</v>
      </c>
      <c r="D10" s="48">
        <v>8.61</v>
      </c>
      <c r="E10" s="48">
        <v>15.67</v>
      </c>
      <c r="F10" s="48">
        <v>17.7</v>
      </c>
      <c r="G10" s="48">
        <v>240.8</v>
      </c>
      <c r="H10" s="48">
        <v>0.05</v>
      </c>
      <c r="I10" s="48"/>
      <c r="J10" s="48"/>
      <c r="K10" s="48">
        <v>0.02</v>
      </c>
      <c r="L10" s="48">
        <v>9.1</v>
      </c>
      <c r="M10" s="48">
        <v>73.2</v>
      </c>
      <c r="N10" s="48">
        <v>15.9</v>
      </c>
      <c r="O10" s="48">
        <v>0.99</v>
      </c>
      <c r="P10" s="49"/>
      <c r="Q10" s="49"/>
      <c r="R10" s="49"/>
      <c r="S10" s="49"/>
    </row>
    <row r="11" spans="1:19" s="46" customFormat="1" ht="13.8">
      <c r="A11" s="145"/>
      <c r="B11" s="15" t="s">
        <v>109</v>
      </c>
      <c r="C11" s="48">
        <v>40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50"/>
      <c r="Q11" s="50"/>
      <c r="R11" s="51"/>
      <c r="S11" s="51"/>
    </row>
    <row r="12" spans="1:19" s="46" customFormat="1" ht="13.8">
      <c r="A12" s="145"/>
      <c r="B12" s="15" t="s">
        <v>167</v>
      </c>
      <c r="C12" s="48">
        <v>20</v>
      </c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50"/>
      <c r="Q12" s="50"/>
      <c r="R12" s="51"/>
      <c r="S12" s="51"/>
    </row>
    <row r="13" spans="1:19" s="8" customFormat="1" ht="13.8">
      <c r="A13" s="145"/>
      <c r="B13" s="52"/>
      <c r="C13" s="48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50"/>
      <c r="Q13" s="50"/>
      <c r="R13" s="53"/>
      <c r="S13" s="53"/>
    </row>
    <row r="14" spans="1:19">
      <c r="A14" s="54">
        <v>376</v>
      </c>
      <c r="B14" s="13" t="s">
        <v>172</v>
      </c>
      <c r="C14" s="131" t="s">
        <v>164</v>
      </c>
      <c r="D14" s="14">
        <v>7.0000000000000007E-2</v>
      </c>
      <c r="E14" s="14">
        <v>0.02</v>
      </c>
      <c r="F14" s="14">
        <v>15</v>
      </c>
      <c r="G14" s="14">
        <v>60</v>
      </c>
      <c r="H14" s="14">
        <f>0.01/5</f>
        <v>2E-3</v>
      </c>
      <c r="I14" s="14">
        <v>0.03</v>
      </c>
      <c r="J14" s="14">
        <f>0</f>
        <v>0</v>
      </c>
      <c r="K14" s="14">
        <f>0</f>
        <v>0</v>
      </c>
      <c r="L14" s="14">
        <v>11.01</v>
      </c>
      <c r="M14" s="14"/>
      <c r="N14" s="14">
        <v>1.4</v>
      </c>
      <c r="O14" s="14">
        <v>0.28000000000000003</v>
      </c>
    </row>
    <row r="15" spans="1:19">
      <c r="A15" s="55" t="s">
        <v>46</v>
      </c>
      <c r="B15" s="56"/>
      <c r="C15" s="56">
        <v>535</v>
      </c>
      <c r="D15" s="57">
        <f>SUM(D8:D14)</f>
        <v>21.38</v>
      </c>
      <c r="E15" s="57">
        <f>SUM(E8:E14)</f>
        <v>26.99</v>
      </c>
      <c r="F15" s="57">
        <v>80.8</v>
      </c>
      <c r="G15" s="57">
        <f>SUM(G8:G14)</f>
        <v>647.79999999999995</v>
      </c>
      <c r="H15" s="57">
        <v>0.15</v>
      </c>
      <c r="I15" s="57">
        <v>0.13</v>
      </c>
      <c r="J15" s="57"/>
      <c r="K15" s="57">
        <v>0.02</v>
      </c>
      <c r="L15" s="56">
        <v>260.31</v>
      </c>
      <c r="M15" s="56">
        <v>249.5</v>
      </c>
      <c r="N15" s="57">
        <v>36</v>
      </c>
      <c r="O15" s="57">
        <v>2.77</v>
      </c>
      <c r="P15" s="49"/>
      <c r="Q15" s="49"/>
      <c r="R15" s="49"/>
      <c r="S15" s="49"/>
    </row>
    <row r="16" spans="1:19" ht="18.75" customHeight="1">
      <c r="A16" s="148" t="s">
        <v>47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49"/>
      <c r="Q16" s="49"/>
      <c r="R16" s="49"/>
      <c r="S16" s="49"/>
    </row>
    <row r="17" spans="1:19">
      <c r="A17" s="12"/>
      <c r="B17" s="13"/>
      <c r="C17" s="1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58"/>
      <c r="P17" s="49"/>
      <c r="Q17" s="49"/>
      <c r="R17" s="49"/>
      <c r="S17" s="49"/>
    </row>
    <row r="18" spans="1:19" ht="27.6">
      <c r="A18" s="59">
        <v>82</v>
      </c>
      <c r="B18" s="60" t="s">
        <v>111</v>
      </c>
      <c r="C18" s="59">
        <v>250</v>
      </c>
      <c r="D18" s="14">
        <f>(7.21/4)+0.8</f>
        <v>2.6025</v>
      </c>
      <c r="E18" s="14">
        <f>(19.68/4)+0.2</f>
        <v>5.12</v>
      </c>
      <c r="F18" s="14">
        <v>10.99</v>
      </c>
      <c r="G18" s="14">
        <f>(415/4)+5+30</f>
        <v>138.75</v>
      </c>
      <c r="H18" s="14"/>
      <c r="I18" s="14">
        <f>42.7/4</f>
        <v>10.675000000000001</v>
      </c>
      <c r="J18" s="14"/>
      <c r="K18" s="14"/>
      <c r="L18" s="14">
        <f>(198.9/4)+2</f>
        <v>51.725000000000001</v>
      </c>
      <c r="M18" s="14"/>
      <c r="N18" s="14">
        <f>104.5/4</f>
        <v>26.125</v>
      </c>
      <c r="O18" s="14">
        <f>4.9/4</f>
        <v>1.2250000000000001</v>
      </c>
    </row>
    <row r="19" spans="1:19" ht="41.4">
      <c r="A19" s="12">
        <v>234</v>
      </c>
      <c r="B19" s="13" t="s">
        <v>112</v>
      </c>
      <c r="C19" s="12">
        <v>100</v>
      </c>
      <c r="D19" s="14">
        <v>13.98</v>
      </c>
      <c r="E19" s="14">
        <v>11.42</v>
      </c>
      <c r="F19" s="14">
        <v>19.940000000000001</v>
      </c>
      <c r="G19" s="14">
        <v>240</v>
      </c>
      <c r="H19" s="14"/>
      <c r="I19" s="14">
        <v>1.76</v>
      </c>
      <c r="J19" s="14"/>
      <c r="K19" s="14"/>
      <c r="L19" s="14">
        <v>81.84</v>
      </c>
      <c r="M19" s="14"/>
      <c r="N19" s="14">
        <v>55.12</v>
      </c>
      <c r="O19" s="14">
        <v>1.54</v>
      </c>
    </row>
    <row r="20" spans="1:19">
      <c r="A20" s="12">
        <v>312</v>
      </c>
      <c r="B20" s="13" t="s">
        <v>113</v>
      </c>
      <c r="C20" s="129" t="s">
        <v>160</v>
      </c>
      <c r="D20" s="14">
        <v>3.07</v>
      </c>
      <c r="E20" s="14">
        <v>25.18</v>
      </c>
      <c r="F20" s="14">
        <v>20.440000000000001</v>
      </c>
      <c r="G20" s="14">
        <v>137.25</v>
      </c>
      <c r="H20" s="14">
        <v>0.14000000000000001</v>
      </c>
      <c r="I20" s="14">
        <v>18.16</v>
      </c>
      <c r="J20" s="14">
        <v>0.18</v>
      </c>
      <c r="K20" s="14">
        <v>0.44</v>
      </c>
      <c r="L20" s="14">
        <v>113.59</v>
      </c>
      <c r="M20" s="14">
        <v>127.88</v>
      </c>
      <c r="N20" s="14">
        <v>38.36</v>
      </c>
      <c r="O20" s="14">
        <v>1.44</v>
      </c>
    </row>
    <row r="21" spans="1:19">
      <c r="A21" s="12">
        <v>389</v>
      </c>
      <c r="B21" s="13" t="s">
        <v>114</v>
      </c>
      <c r="C21" s="61">
        <v>200</v>
      </c>
      <c r="D21" s="62">
        <f>1</f>
        <v>1</v>
      </c>
      <c r="E21" s="61">
        <v>0</v>
      </c>
      <c r="F21" s="62">
        <v>20.2</v>
      </c>
      <c r="G21" s="61">
        <v>84.8</v>
      </c>
      <c r="H21" s="62"/>
      <c r="I21" s="61">
        <f>30/5</f>
        <v>6</v>
      </c>
      <c r="J21" s="62"/>
      <c r="K21" s="61"/>
      <c r="L21" s="62">
        <f>70/5</f>
        <v>14</v>
      </c>
      <c r="M21" s="61"/>
      <c r="N21" s="62">
        <f>40/5</f>
        <v>8</v>
      </c>
      <c r="O21" s="63">
        <f>14/5</f>
        <v>2.8</v>
      </c>
    </row>
    <row r="22" spans="1:19" s="8" customFormat="1" ht="13.8">
      <c r="A22" s="15">
        <v>701</v>
      </c>
      <c r="B22" s="13" t="s">
        <v>52</v>
      </c>
      <c r="C22" s="12">
        <v>40</v>
      </c>
      <c r="D22" s="14">
        <v>3.8</v>
      </c>
      <c r="E22" s="14">
        <v>0.45</v>
      </c>
      <c r="F22" s="14">
        <v>23.35</v>
      </c>
      <c r="G22" s="14">
        <v>114.6</v>
      </c>
      <c r="H22" s="14">
        <v>0.05</v>
      </c>
      <c r="I22" s="14"/>
      <c r="J22" s="14"/>
      <c r="K22" s="14"/>
      <c r="L22" s="14">
        <v>9.3000000000000007</v>
      </c>
      <c r="M22" s="14"/>
      <c r="N22" s="14"/>
      <c r="O22" s="14">
        <v>0.62</v>
      </c>
    </row>
    <row r="23" spans="1:19">
      <c r="A23" s="15">
        <v>701</v>
      </c>
      <c r="B23" s="13" t="s">
        <v>42</v>
      </c>
      <c r="C23" s="12">
        <v>40</v>
      </c>
      <c r="D23" s="14">
        <v>3.04</v>
      </c>
      <c r="E23" s="14">
        <v>0.36</v>
      </c>
      <c r="F23" s="14">
        <v>18.68</v>
      </c>
      <c r="G23" s="14">
        <v>85.44</v>
      </c>
      <c r="H23" s="14">
        <v>0.05</v>
      </c>
      <c r="I23" s="14"/>
      <c r="J23" s="14"/>
      <c r="K23" s="14"/>
      <c r="L23" s="14">
        <v>9.3000000000000007</v>
      </c>
      <c r="M23" s="14"/>
      <c r="N23" s="14"/>
      <c r="O23" s="14">
        <v>0.62</v>
      </c>
    </row>
    <row r="24" spans="1:19">
      <c r="A24" s="64" t="s">
        <v>46</v>
      </c>
      <c r="B24" s="65"/>
      <c r="C24" s="65">
        <v>820</v>
      </c>
      <c r="D24" s="66">
        <f>SUM(D17:D23)</f>
        <v>27.4925</v>
      </c>
      <c r="E24" s="66">
        <f>SUM(E17:E23)</f>
        <v>42.53</v>
      </c>
      <c r="F24" s="66">
        <v>194.4</v>
      </c>
      <c r="G24" s="66">
        <v>804.04</v>
      </c>
      <c r="H24" s="67">
        <v>0.24</v>
      </c>
      <c r="I24" s="67">
        <v>36.6</v>
      </c>
      <c r="J24" s="67">
        <v>0.18</v>
      </c>
      <c r="K24" s="67">
        <v>0.44</v>
      </c>
      <c r="L24" s="65">
        <v>279.76</v>
      </c>
      <c r="M24" s="67">
        <v>127.88</v>
      </c>
      <c r="N24" s="65">
        <v>127.61</v>
      </c>
      <c r="O24" s="67">
        <v>8.25</v>
      </c>
    </row>
    <row r="25" spans="1:19" ht="18.75" customHeight="1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</row>
    <row r="26" spans="1:19" s="46" customFormat="1" ht="13.8">
      <c r="A26" s="12"/>
      <c r="B26" s="13"/>
      <c r="C26" s="12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9">
      <c r="A27" s="12"/>
      <c r="B27" s="13"/>
      <c r="C27" s="12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9">
      <c r="A28" s="12"/>
      <c r="B28" s="13"/>
      <c r="C28" s="1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9">
      <c r="A29" s="17" t="s">
        <v>46</v>
      </c>
      <c r="B29" s="18"/>
      <c r="C29" s="18">
        <v>1315</v>
      </c>
      <c r="D29" s="68">
        <v>48.87</v>
      </c>
      <c r="E29" s="68">
        <v>69.52</v>
      </c>
      <c r="F29" s="68">
        <v>194.4</v>
      </c>
      <c r="G29" s="68">
        <v>1451.84</v>
      </c>
      <c r="H29" s="19">
        <v>0.39</v>
      </c>
      <c r="I29" s="19" t="s">
        <v>115</v>
      </c>
      <c r="J29" s="19">
        <v>0.18</v>
      </c>
      <c r="K29" s="19">
        <v>0.44</v>
      </c>
      <c r="L29" s="19">
        <v>540.07000000000005</v>
      </c>
      <c r="M29" s="19">
        <v>337.38</v>
      </c>
      <c r="N29" s="19">
        <v>163.61000000000001</v>
      </c>
      <c r="O29" s="19">
        <v>11.02</v>
      </c>
    </row>
    <row r="30" spans="1:19" ht="15" customHeight="1">
      <c r="A30" s="69" t="s">
        <v>55</v>
      </c>
      <c r="B30" s="15"/>
      <c r="C30" s="15"/>
      <c r="D30" s="29"/>
      <c r="E30" s="29"/>
      <c r="F30" s="29"/>
      <c r="G30" s="29"/>
      <c r="H30" s="70"/>
      <c r="I30" s="70"/>
      <c r="J30" s="70"/>
      <c r="K30" s="70"/>
      <c r="L30" s="70"/>
      <c r="M30" s="70"/>
      <c r="N30" s="70"/>
      <c r="O30" s="70"/>
    </row>
    <row r="32" spans="1:19" ht="39" customHeight="1">
      <c r="B32" s="137" t="s">
        <v>56</v>
      </c>
      <c r="C32" s="137"/>
      <c r="D32" s="137"/>
      <c r="E32" s="137"/>
      <c r="F32" s="142" t="s">
        <v>57</v>
      </c>
      <c r="G32" s="142"/>
      <c r="H32" s="142"/>
      <c r="I32" s="31" t="s">
        <v>58</v>
      </c>
    </row>
    <row r="33" spans="1:11">
      <c r="B33" s="137"/>
      <c r="C33" s="137"/>
      <c r="D33" s="137"/>
      <c r="E33" s="137"/>
      <c r="F33" s="30" t="s">
        <v>28</v>
      </c>
      <c r="G33" s="30" t="s">
        <v>29</v>
      </c>
      <c r="H33" s="30" t="s">
        <v>30</v>
      </c>
      <c r="I33" s="32"/>
    </row>
    <row r="34" spans="1:11" ht="15.75" customHeight="1">
      <c r="B34" s="137" t="s">
        <v>59</v>
      </c>
      <c r="C34" s="137"/>
      <c r="D34" s="137"/>
      <c r="E34" s="137"/>
      <c r="F34" s="30" t="s">
        <v>60</v>
      </c>
      <c r="G34" s="30" t="s">
        <v>61</v>
      </c>
      <c r="H34" s="30" t="s">
        <v>62</v>
      </c>
      <c r="I34" s="30" t="s">
        <v>63</v>
      </c>
    </row>
    <row r="35" spans="1:11" ht="15.75" customHeight="1">
      <c r="B35" s="137" t="s">
        <v>64</v>
      </c>
      <c r="C35" s="137"/>
      <c r="D35" s="137"/>
      <c r="E35" s="137"/>
      <c r="F35" s="33">
        <f>D30</f>
        <v>0</v>
      </c>
      <c r="G35" s="33">
        <f>E30</f>
        <v>0</v>
      </c>
      <c r="H35" s="33">
        <f>F30</f>
        <v>0</v>
      </c>
      <c r="I35" s="33">
        <f>G30</f>
        <v>0</v>
      </c>
    </row>
    <row r="37" spans="1:11" ht="40.5" customHeight="1">
      <c r="A37" s="49"/>
      <c r="B37" s="138" t="s">
        <v>66</v>
      </c>
      <c r="C37" s="138"/>
      <c r="D37" s="138"/>
      <c r="E37" s="138"/>
      <c r="F37" s="138"/>
      <c r="G37" s="138"/>
      <c r="H37" s="138"/>
      <c r="J37" s="42" t="s">
        <v>14</v>
      </c>
      <c r="K37" s="43" t="s">
        <v>105</v>
      </c>
    </row>
    <row r="38" spans="1:11" ht="23.25" customHeight="1">
      <c r="A38" s="49"/>
      <c r="B38" s="36" t="s">
        <v>67</v>
      </c>
      <c r="C38" s="139" t="s">
        <v>68</v>
      </c>
      <c r="D38" s="139"/>
      <c r="E38" s="139"/>
      <c r="F38" s="139"/>
      <c r="G38" s="140" t="s">
        <v>69</v>
      </c>
      <c r="H38" s="140"/>
      <c r="J38" s="42" t="s">
        <v>16</v>
      </c>
      <c r="K38" s="43" t="s">
        <v>17</v>
      </c>
    </row>
    <row r="39" spans="1:11" ht="30" customHeight="1">
      <c r="A39" s="49"/>
      <c r="B39" s="139"/>
      <c r="C39" s="139" t="s">
        <v>70</v>
      </c>
      <c r="D39" s="139"/>
      <c r="E39" s="139" t="s">
        <v>71</v>
      </c>
      <c r="F39" s="139"/>
      <c r="G39" s="36" t="s">
        <v>70</v>
      </c>
      <c r="H39" s="36" t="s">
        <v>71</v>
      </c>
      <c r="J39" s="42" t="s">
        <v>18</v>
      </c>
      <c r="K39" s="43" t="s">
        <v>19</v>
      </c>
    </row>
    <row r="40" spans="1:11" ht="24.75" customHeight="1">
      <c r="A40" s="49"/>
      <c r="B40" s="139"/>
      <c r="C40" s="139" t="s">
        <v>72</v>
      </c>
      <c r="D40" s="139"/>
      <c r="E40" s="139" t="s">
        <v>72</v>
      </c>
      <c r="F40" s="139"/>
      <c r="G40" s="36" t="s">
        <v>72</v>
      </c>
      <c r="H40" s="36" t="s">
        <v>72</v>
      </c>
      <c r="J40" s="42" t="s">
        <v>20</v>
      </c>
      <c r="K40" s="43" t="s">
        <v>65</v>
      </c>
    </row>
    <row r="41" spans="1:11">
      <c r="A41" s="49"/>
      <c r="B41" s="38" t="s">
        <v>73</v>
      </c>
      <c r="C41" s="135">
        <v>80</v>
      </c>
      <c r="D41" s="135"/>
      <c r="E41" s="135">
        <v>80</v>
      </c>
      <c r="F41" s="135"/>
      <c r="G41" s="39">
        <v>40</v>
      </c>
      <c r="H41" s="39">
        <v>40</v>
      </c>
    </row>
    <row r="42" spans="1:11">
      <c r="A42" s="49"/>
      <c r="B42" s="38" t="s">
        <v>42</v>
      </c>
      <c r="C42" s="135">
        <v>150</v>
      </c>
      <c r="D42" s="135"/>
      <c r="E42" s="135">
        <v>150</v>
      </c>
      <c r="F42" s="135"/>
      <c r="G42" s="39">
        <v>100</v>
      </c>
      <c r="H42" s="39">
        <v>100</v>
      </c>
    </row>
    <row r="43" spans="1:11">
      <c r="A43" s="49"/>
      <c r="B43" s="38" t="s">
        <v>74</v>
      </c>
      <c r="C43" s="135">
        <v>15</v>
      </c>
      <c r="D43" s="135"/>
      <c r="E43" s="135">
        <v>15</v>
      </c>
      <c r="F43" s="135"/>
      <c r="G43" s="39">
        <f>78+11.5</f>
        <v>89.5</v>
      </c>
      <c r="H43" s="39">
        <f>78+11.5</f>
        <v>89.5</v>
      </c>
    </row>
    <row r="44" spans="1:11">
      <c r="A44" s="49"/>
      <c r="B44" s="38" t="s">
        <v>75</v>
      </c>
      <c r="C44" s="135">
        <v>45</v>
      </c>
      <c r="D44" s="135"/>
      <c r="E44" s="135">
        <v>45</v>
      </c>
      <c r="F44" s="135"/>
      <c r="G44" s="40"/>
      <c r="H44" s="40"/>
    </row>
    <row r="45" spans="1:11">
      <c r="A45" s="49"/>
      <c r="B45" s="38" t="s">
        <v>76</v>
      </c>
      <c r="C45" s="135">
        <v>15</v>
      </c>
      <c r="D45" s="135"/>
      <c r="E45" s="135">
        <v>15</v>
      </c>
      <c r="F45" s="135"/>
      <c r="G45" s="39"/>
      <c r="H45" s="39"/>
    </row>
    <row r="46" spans="1:11" ht="15" customHeight="1">
      <c r="A46" s="49"/>
      <c r="B46" s="38" t="s">
        <v>77</v>
      </c>
      <c r="C46" s="135" t="s">
        <v>78</v>
      </c>
      <c r="D46" s="135"/>
      <c r="E46" s="136">
        <v>188</v>
      </c>
      <c r="F46" s="136"/>
      <c r="G46" s="39">
        <f>171+27+28.9</f>
        <v>226.9</v>
      </c>
      <c r="H46" s="39">
        <f>20+21+129</f>
        <v>170</v>
      </c>
    </row>
    <row r="47" spans="1:11" ht="15" customHeight="1">
      <c r="A47" s="49"/>
      <c r="B47" s="38" t="s">
        <v>79</v>
      </c>
      <c r="C47" s="135">
        <v>350</v>
      </c>
      <c r="D47" s="135"/>
      <c r="E47" s="135" t="s">
        <v>80</v>
      </c>
      <c r="F47" s="135"/>
      <c r="G47" s="39">
        <f>50+25+12.5+3.25+12+7.5+19.1+12.6+18.8+21.4+18.8+23+4+2+10+10</f>
        <v>249.95000000000002</v>
      </c>
      <c r="H47" s="39">
        <f>40+20+10+2.5+10+7.5+15+10+15+15+15+18+3+1+8+10</f>
        <v>200</v>
      </c>
    </row>
    <row r="48" spans="1:11" ht="15" customHeight="1">
      <c r="A48" s="49"/>
      <c r="B48" s="38" t="s">
        <v>81</v>
      </c>
      <c r="C48" s="135">
        <v>200</v>
      </c>
      <c r="D48" s="135"/>
      <c r="E48" s="135" t="s">
        <v>82</v>
      </c>
      <c r="F48" s="135"/>
      <c r="G48" s="39">
        <f>100+21+8</f>
        <v>129</v>
      </c>
      <c r="H48" s="39">
        <v>129</v>
      </c>
    </row>
    <row r="49" spans="1:8" ht="26.4">
      <c r="A49" s="49"/>
      <c r="B49" s="38" t="s">
        <v>83</v>
      </c>
      <c r="C49" s="135">
        <v>15</v>
      </c>
      <c r="D49" s="135"/>
      <c r="E49" s="135">
        <v>15</v>
      </c>
      <c r="F49" s="135"/>
      <c r="G49" s="39"/>
      <c r="H49" s="39"/>
    </row>
    <row r="50" spans="1:8" ht="39.6">
      <c r="A50" s="49"/>
      <c r="B50" s="38" t="s">
        <v>84</v>
      </c>
      <c r="C50" s="135">
        <v>200</v>
      </c>
      <c r="D50" s="135"/>
      <c r="E50" s="135">
        <v>200</v>
      </c>
      <c r="F50" s="135"/>
      <c r="G50" s="39">
        <v>200</v>
      </c>
      <c r="H50" s="39">
        <v>200</v>
      </c>
    </row>
    <row r="51" spans="1:8" ht="25.5" customHeight="1">
      <c r="A51" s="49"/>
      <c r="B51" s="38" t="s">
        <v>85</v>
      </c>
      <c r="C51" s="135" t="s">
        <v>86</v>
      </c>
      <c r="D51" s="135"/>
      <c r="E51" s="135">
        <v>70</v>
      </c>
      <c r="F51" s="135"/>
      <c r="G51" s="39">
        <v>40</v>
      </c>
      <c r="H51" s="39">
        <v>25</v>
      </c>
    </row>
    <row r="52" spans="1:8" ht="25.5" customHeight="1">
      <c r="A52" s="49"/>
      <c r="B52" s="38" t="s">
        <v>87</v>
      </c>
      <c r="C52" s="135" t="s">
        <v>88</v>
      </c>
      <c r="D52" s="135"/>
      <c r="E52" s="135">
        <v>35</v>
      </c>
      <c r="F52" s="135"/>
      <c r="G52" s="39"/>
      <c r="H52" s="39"/>
    </row>
    <row r="53" spans="1:8">
      <c r="A53" s="49"/>
      <c r="B53" s="38" t="s">
        <v>89</v>
      </c>
      <c r="C53" s="135">
        <v>60</v>
      </c>
      <c r="D53" s="135"/>
      <c r="E53" s="135">
        <v>58</v>
      </c>
      <c r="F53" s="135"/>
      <c r="G53" s="39">
        <v>123</v>
      </c>
      <c r="H53" s="39">
        <v>61</v>
      </c>
    </row>
    <row r="54" spans="1:8">
      <c r="A54" s="49"/>
      <c r="B54" s="38" t="s">
        <v>90</v>
      </c>
      <c r="C54" s="135">
        <v>15</v>
      </c>
      <c r="D54" s="135"/>
      <c r="E54" s="135">
        <v>14.7</v>
      </c>
      <c r="F54" s="135"/>
      <c r="G54" s="39"/>
      <c r="H54" s="39"/>
    </row>
    <row r="55" spans="1:8" ht="26.4">
      <c r="A55" s="49"/>
      <c r="B55" s="38" t="s">
        <v>91</v>
      </c>
      <c r="C55" s="135">
        <v>300</v>
      </c>
      <c r="D55" s="135"/>
      <c r="E55" s="135">
        <v>300</v>
      </c>
      <c r="F55" s="135"/>
      <c r="G55" s="39">
        <f>78+24</f>
        <v>102</v>
      </c>
      <c r="H55" s="39">
        <f>78+22.5</f>
        <v>100.5</v>
      </c>
    </row>
    <row r="56" spans="1:8" ht="26.4">
      <c r="A56" s="49"/>
      <c r="B56" s="38" t="s">
        <v>92</v>
      </c>
      <c r="C56" s="135">
        <v>150</v>
      </c>
      <c r="D56" s="135"/>
      <c r="E56" s="135">
        <v>150</v>
      </c>
      <c r="F56" s="135"/>
      <c r="G56" s="39">
        <v>207</v>
      </c>
      <c r="H56" s="39">
        <v>200</v>
      </c>
    </row>
    <row r="57" spans="1:8" ht="26.4">
      <c r="A57" s="49"/>
      <c r="B57" s="38" t="s">
        <v>93</v>
      </c>
      <c r="C57" s="135">
        <v>50</v>
      </c>
      <c r="D57" s="135"/>
      <c r="E57" s="135">
        <v>50</v>
      </c>
      <c r="F57" s="135"/>
      <c r="G57" s="39">
        <f>83.7+30</f>
        <v>113.7</v>
      </c>
      <c r="H57" s="39">
        <f>82+30</f>
        <v>112</v>
      </c>
    </row>
    <row r="58" spans="1:8">
      <c r="A58" s="49"/>
      <c r="B58" s="38" t="s">
        <v>94</v>
      </c>
      <c r="C58" s="135">
        <v>10</v>
      </c>
      <c r="D58" s="135"/>
      <c r="E58" s="135">
        <v>9.8000000000000007</v>
      </c>
      <c r="F58" s="135"/>
      <c r="G58" s="39"/>
      <c r="H58" s="39"/>
    </row>
    <row r="59" spans="1:8" ht="26.4">
      <c r="A59" s="49"/>
      <c r="B59" s="38" t="s">
        <v>95</v>
      </c>
      <c r="C59" s="135">
        <v>10</v>
      </c>
      <c r="D59" s="135"/>
      <c r="E59" s="135">
        <v>10</v>
      </c>
      <c r="F59" s="135"/>
      <c r="G59" s="41"/>
      <c r="H59" s="41"/>
    </row>
    <row r="60" spans="1:8">
      <c r="A60" s="49"/>
      <c r="B60" s="38" t="s">
        <v>43</v>
      </c>
      <c r="C60" s="135">
        <v>30</v>
      </c>
      <c r="D60" s="135"/>
      <c r="E60" s="135">
        <v>30</v>
      </c>
      <c r="F60" s="135"/>
      <c r="G60" s="39">
        <f>10+5.25</f>
        <v>15.25</v>
      </c>
      <c r="H60" s="39">
        <v>15.25</v>
      </c>
    </row>
    <row r="61" spans="1:8">
      <c r="A61" s="49"/>
      <c r="B61" s="38" t="s">
        <v>96</v>
      </c>
      <c r="C61" s="135">
        <v>15</v>
      </c>
      <c r="D61" s="135"/>
      <c r="E61" s="135">
        <v>15</v>
      </c>
      <c r="F61" s="135"/>
      <c r="G61" s="39">
        <f>9+5+10</f>
        <v>24</v>
      </c>
      <c r="H61" s="39">
        <v>24</v>
      </c>
    </row>
    <row r="62" spans="1:8" ht="15" customHeight="1">
      <c r="A62" s="49"/>
      <c r="B62" s="38" t="s">
        <v>97</v>
      </c>
      <c r="C62" s="135" t="s">
        <v>98</v>
      </c>
      <c r="D62" s="135"/>
      <c r="E62" s="135">
        <v>40</v>
      </c>
      <c r="F62" s="135"/>
      <c r="G62" s="39">
        <f>3.9+6</f>
        <v>9.9</v>
      </c>
      <c r="H62" s="39">
        <f>3.9+6</f>
        <v>9.9</v>
      </c>
    </row>
    <row r="63" spans="1:8">
      <c r="A63" s="49"/>
      <c r="B63" s="38" t="s">
        <v>99</v>
      </c>
      <c r="C63" s="135">
        <v>40</v>
      </c>
      <c r="D63" s="135"/>
      <c r="E63" s="136">
        <v>40</v>
      </c>
      <c r="F63" s="136"/>
      <c r="G63" s="39">
        <f>2.75+6+2+1</f>
        <v>11.75</v>
      </c>
      <c r="H63" s="39">
        <v>11.75</v>
      </c>
    </row>
    <row r="64" spans="1:8">
      <c r="A64" s="49"/>
      <c r="B64" s="38" t="s">
        <v>100</v>
      </c>
      <c r="C64" s="136">
        <v>10</v>
      </c>
      <c r="D64" s="136"/>
      <c r="E64" s="135">
        <v>10</v>
      </c>
      <c r="F64" s="135"/>
      <c r="G64" s="39">
        <v>15</v>
      </c>
      <c r="H64" s="39">
        <v>15</v>
      </c>
    </row>
    <row r="65" spans="1:8">
      <c r="A65" s="49"/>
      <c r="B65" s="38" t="s">
        <v>101</v>
      </c>
      <c r="C65" s="135">
        <v>0.4</v>
      </c>
      <c r="D65" s="135"/>
      <c r="E65" s="135">
        <v>0.4</v>
      </c>
      <c r="F65" s="135"/>
      <c r="G65" s="39">
        <v>0.5</v>
      </c>
      <c r="H65" s="39">
        <v>0.5</v>
      </c>
    </row>
    <row r="66" spans="1:8">
      <c r="A66" s="49"/>
      <c r="B66" s="38" t="s">
        <v>102</v>
      </c>
      <c r="C66" s="135">
        <v>1.2</v>
      </c>
      <c r="D66" s="135"/>
      <c r="E66" s="135">
        <v>1.2</v>
      </c>
      <c r="F66" s="135"/>
      <c r="G66" s="39"/>
      <c r="H66" s="39"/>
    </row>
    <row r="67" spans="1:8">
      <c r="A67" s="49"/>
      <c r="B67" s="38" t="s">
        <v>103</v>
      </c>
      <c r="C67" s="135">
        <v>1</v>
      </c>
      <c r="D67" s="135"/>
      <c r="E67" s="135">
        <v>1</v>
      </c>
      <c r="F67" s="135"/>
      <c r="G67" s="39">
        <v>2.25</v>
      </c>
      <c r="H67" s="39">
        <v>2.25</v>
      </c>
    </row>
    <row r="68" spans="1:8">
      <c r="A68" s="49"/>
      <c r="B68" s="38" t="s">
        <v>104</v>
      </c>
      <c r="C68" s="135">
        <v>5</v>
      </c>
      <c r="D68" s="135"/>
      <c r="E68" s="135">
        <v>5</v>
      </c>
      <c r="F68" s="135"/>
      <c r="G68" s="39">
        <f>1.5+0.8+1</f>
        <v>3.3</v>
      </c>
      <c r="H68" s="39">
        <v>3.3</v>
      </c>
    </row>
    <row r="69" spans="1:8">
      <c r="A69" s="49"/>
      <c r="B69" s="49"/>
      <c r="C69" s="49"/>
      <c r="D69" s="49"/>
      <c r="E69" s="49"/>
      <c r="F69" s="49"/>
      <c r="G69" s="71"/>
      <c r="H69" s="49"/>
    </row>
    <row r="70" spans="1:8">
      <c r="A70" s="49"/>
      <c r="B70" s="49"/>
      <c r="C70" s="49"/>
      <c r="D70" s="49"/>
      <c r="E70" s="49"/>
      <c r="F70" s="49"/>
      <c r="G70" s="49"/>
      <c r="H70" s="49"/>
    </row>
    <row r="71" spans="1:8">
      <c r="A71" s="49"/>
      <c r="B71" s="49"/>
      <c r="C71" s="49"/>
      <c r="D71" s="49"/>
      <c r="E71" s="49"/>
      <c r="F71" s="49"/>
      <c r="G71" s="49"/>
      <c r="H71" s="49"/>
    </row>
    <row r="72" spans="1:8">
      <c r="A72" s="49"/>
      <c r="B72" s="49"/>
      <c r="C72" s="49"/>
      <c r="D72" s="49"/>
      <c r="E72" s="49"/>
      <c r="F72" s="49"/>
      <c r="G72" s="49"/>
      <c r="H72" s="49"/>
    </row>
    <row r="73" spans="1:8">
      <c r="A73" s="49"/>
      <c r="B73" s="49"/>
      <c r="C73" s="49"/>
      <c r="D73" s="49"/>
      <c r="E73" s="49"/>
      <c r="F73" s="49"/>
      <c r="G73" s="49"/>
      <c r="H73" s="49"/>
    </row>
    <row r="74" spans="1:8">
      <c r="A74" s="49"/>
      <c r="B74" s="49"/>
      <c r="C74" s="49"/>
      <c r="D74" s="49"/>
      <c r="E74" s="49"/>
      <c r="F74" s="49"/>
      <c r="G74" s="49"/>
      <c r="H74" s="49"/>
    </row>
  </sheetData>
  <mergeCells count="82">
    <mergeCell ref="H5:K5"/>
    <mergeCell ref="L5:O5"/>
    <mergeCell ref="A7:O7"/>
    <mergeCell ref="A8:A9"/>
    <mergeCell ref="D9:O9"/>
    <mergeCell ref="A5:A6"/>
    <mergeCell ref="B5:B6"/>
    <mergeCell ref="C5:C6"/>
    <mergeCell ref="D5:F5"/>
    <mergeCell ref="G5:G6"/>
    <mergeCell ref="A10:A13"/>
    <mergeCell ref="D11:O13"/>
    <mergeCell ref="A16:O16"/>
    <mergeCell ref="A25:O25"/>
    <mergeCell ref="B32:E33"/>
    <mergeCell ref="F32:H32"/>
    <mergeCell ref="B34:E34"/>
    <mergeCell ref="B35:E35"/>
    <mergeCell ref="B37:H37"/>
    <mergeCell ref="C38:F38"/>
    <mergeCell ref="G38:H38"/>
    <mergeCell ref="B39:B40"/>
    <mergeCell ref="C39:D39"/>
    <mergeCell ref="E39:F39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C53:D53"/>
    <mergeCell ref="E53:F53"/>
    <mergeCell ref="C54:D54"/>
    <mergeCell ref="E54:F54"/>
    <mergeCell ref="C55:D55"/>
    <mergeCell ref="E55:F55"/>
    <mergeCell ref="C56:D56"/>
    <mergeCell ref="E56:F56"/>
    <mergeCell ref="C57:D57"/>
    <mergeCell ref="E57:F57"/>
    <mergeCell ref="C58:D58"/>
    <mergeCell ref="E58:F58"/>
    <mergeCell ref="C59:D59"/>
    <mergeCell ref="E59:F59"/>
    <mergeCell ref="C60:D60"/>
    <mergeCell ref="E60:F60"/>
    <mergeCell ref="C61:D61"/>
    <mergeCell ref="E61:F61"/>
    <mergeCell ref="C62:D62"/>
    <mergeCell ref="E62:F62"/>
    <mergeCell ref="C63:D63"/>
    <mergeCell ref="E63:F63"/>
    <mergeCell ref="C64:D64"/>
    <mergeCell ref="E64:F64"/>
    <mergeCell ref="C68:D68"/>
    <mergeCell ref="E68:F68"/>
    <mergeCell ref="C65:D65"/>
    <mergeCell ref="E65:F65"/>
    <mergeCell ref="C66:D66"/>
    <mergeCell ref="E66:F66"/>
    <mergeCell ref="C67:D67"/>
    <mergeCell ref="E67:F67"/>
  </mergeCells>
  <pageMargins left="0.70833333333333304" right="0.70833333333333304" top="0.74791666666666701" bottom="0.74791666666666701" header="0.51180555555555496" footer="0.51180555555555496"/>
  <pageSetup paperSize="9" scale="75" firstPageNumber="0" orientation="landscape" horizontalDpi="300" verticalDpi="300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A69"/>
  <sheetViews>
    <sheetView view="pageBreakPreview" zoomScale="90" zoomScaleNormal="90" zoomScalePageLayoutView="90" workbookViewId="0">
      <selection activeCell="A24" sqref="A24:O24"/>
    </sheetView>
  </sheetViews>
  <sheetFormatPr defaultColWidth="9.33203125" defaultRowHeight="14.4"/>
  <cols>
    <col min="1" max="1" width="14" customWidth="1"/>
    <col min="2" max="2" width="32.6640625" customWidth="1"/>
    <col min="7" max="7" width="11.88671875" customWidth="1"/>
    <col min="8" max="8" width="10" customWidth="1"/>
    <col min="9" max="9" width="10.5546875" customWidth="1"/>
  </cols>
  <sheetData>
    <row r="1" spans="1:19" ht="15.6">
      <c r="A1" s="42" t="s">
        <v>14</v>
      </c>
      <c r="B1" s="43" t="s">
        <v>116</v>
      </c>
    </row>
    <row r="2" spans="1:19" ht="15.6">
      <c r="A2" s="42" t="s">
        <v>16</v>
      </c>
      <c r="B2" s="43" t="s">
        <v>17</v>
      </c>
    </row>
    <row r="3" spans="1:19" ht="15.6">
      <c r="A3" s="42" t="s">
        <v>18</v>
      </c>
      <c r="B3" s="43" t="s">
        <v>19</v>
      </c>
    </row>
    <row r="4" spans="1:19" ht="31.2">
      <c r="A4" s="42" t="s">
        <v>20</v>
      </c>
      <c r="B4" s="130" t="s">
        <v>159</v>
      </c>
    </row>
    <row r="5" spans="1:19" ht="15.75" customHeight="1">
      <c r="A5" s="157" t="s">
        <v>21</v>
      </c>
      <c r="B5" s="157" t="s">
        <v>22</v>
      </c>
      <c r="C5" s="157" t="s">
        <v>23</v>
      </c>
      <c r="D5" s="157" t="s">
        <v>24</v>
      </c>
      <c r="E5" s="157"/>
      <c r="F5" s="157"/>
      <c r="G5" s="157" t="s">
        <v>25</v>
      </c>
      <c r="H5" s="157" t="s">
        <v>26</v>
      </c>
      <c r="I5" s="157"/>
      <c r="J5" s="157"/>
      <c r="K5" s="157"/>
      <c r="L5" s="157" t="s">
        <v>27</v>
      </c>
      <c r="M5" s="157"/>
      <c r="N5" s="157"/>
      <c r="O5" s="157"/>
    </row>
    <row r="6" spans="1:19" ht="15.6">
      <c r="A6" s="157"/>
      <c r="B6" s="157"/>
      <c r="C6" s="157"/>
      <c r="D6" s="72" t="s">
        <v>28</v>
      </c>
      <c r="E6" s="72" t="s">
        <v>29</v>
      </c>
      <c r="F6" s="72" t="s">
        <v>30</v>
      </c>
      <c r="G6" s="157"/>
      <c r="H6" s="72" t="s">
        <v>117</v>
      </c>
      <c r="I6" s="72" t="s">
        <v>32</v>
      </c>
      <c r="J6" s="72" t="s">
        <v>33</v>
      </c>
      <c r="K6" s="72" t="s">
        <v>34</v>
      </c>
      <c r="L6" s="72" t="s">
        <v>35</v>
      </c>
      <c r="M6" s="72" t="s">
        <v>36</v>
      </c>
      <c r="N6" s="72" t="s">
        <v>37</v>
      </c>
      <c r="O6" s="72" t="s">
        <v>38</v>
      </c>
    </row>
    <row r="7" spans="1:19" ht="18.75" customHeight="1">
      <c r="A7" s="156" t="s">
        <v>39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</row>
    <row r="8" spans="1:19" s="46" customFormat="1" ht="27.6">
      <c r="A8" s="73">
        <v>182</v>
      </c>
      <c r="B8" s="60" t="s">
        <v>118</v>
      </c>
      <c r="C8" s="12">
        <v>250</v>
      </c>
      <c r="D8" s="14">
        <v>5.0999999999999996</v>
      </c>
      <c r="E8" s="14">
        <v>10.220000000000001</v>
      </c>
      <c r="F8" s="14">
        <v>33.42</v>
      </c>
      <c r="G8" s="14">
        <v>251</v>
      </c>
      <c r="H8" s="14">
        <v>0.06</v>
      </c>
      <c r="I8" s="14">
        <v>1.17</v>
      </c>
      <c r="J8" s="14">
        <v>58</v>
      </c>
      <c r="K8" s="14">
        <v>0.21</v>
      </c>
      <c r="L8" s="14">
        <v>130.09</v>
      </c>
      <c r="M8" s="14"/>
      <c r="N8" s="14">
        <v>30.12</v>
      </c>
      <c r="O8" s="14">
        <v>0.47</v>
      </c>
    </row>
    <row r="9" spans="1:19" s="1" customFormat="1">
      <c r="A9" s="145">
        <v>8</v>
      </c>
      <c r="B9" s="13" t="s">
        <v>168</v>
      </c>
      <c r="C9" s="47">
        <v>60</v>
      </c>
      <c r="D9" s="48">
        <v>8.61</v>
      </c>
      <c r="E9" s="48">
        <v>15.67</v>
      </c>
      <c r="F9" s="48">
        <v>17.7</v>
      </c>
      <c r="G9" s="48">
        <v>240.8</v>
      </c>
      <c r="H9" s="48">
        <v>0.05</v>
      </c>
      <c r="I9" s="48"/>
      <c r="J9" s="48"/>
      <c r="K9" s="48">
        <v>0.02</v>
      </c>
      <c r="L9" s="48">
        <v>9.1</v>
      </c>
      <c r="M9" s="48">
        <v>73.2</v>
      </c>
      <c r="N9" s="48">
        <v>15.9</v>
      </c>
      <c r="O9" s="48">
        <v>0.99</v>
      </c>
      <c r="P9" s="49"/>
      <c r="Q9" s="49"/>
      <c r="R9" s="49"/>
      <c r="S9" s="49"/>
    </row>
    <row r="10" spans="1:19" s="1" customFormat="1">
      <c r="A10" s="145"/>
      <c r="B10" s="13" t="s">
        <v>119</v>
      </c>
      <c r="C10" s="47">
        <v>40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9"/>
      <c r="Q10" s="49"/>
      <c r="R10" s="49"/>
      <c r="S10" s="49"/>
    </row>
    <row r="11" spans="1:19" s="46" customFormat="1" ht="13.8">
      <c r="A11" s="145"/>
      <c r="B11" s="15" t="s">
        <v>169</v>
      </c>
      <c r="C11" s="48">
        <v>20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50"/>
      <c r="Q11" s="50"/>
      <c r="R11" s="51"/>
      <c r="S11" s="51"/>
    </row>
    <row r="12" spans="1:19" s="8" customFormat="1" ht="13.8">
      <c r="A12" s="145"/>
      <c r="B12" s="52"/>
      <c r="C12" s="48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50"/>
      <c r="Q12" s="50"/>
      <c r="R12" s="53"/>
      <c r="S12" s="53"/>
    </row>
    <row r="13" spans="1:19">
      <c r="A13" s="12">
        <v>379</v>
      </c>
      <c r="B13" s="13" t="s">
        <v>120</v>
      </c>
      <c r="C13" s="12">
        <v>200</v>
      </c>
      <c r="D13" s="14">
        <f>15.83/5</f>
        <v>3.1659999999999999</v>
      </c>
      <c r="E13" s="14">
        <f>13.39/5</f>
        <v>2.6779999999999999</v>
      </c>
      <c r="F13" s="14">
        <f>79.73/5</f>
        <v>15.946000000000002</v>
      </c>
      <c r="G13" s="14">
        <f>503/5</f>
        <v>100.6</v>
      </c>
      <c r="H13" s="14"/>
      <c r="I13" s="14">
        <f>6.5/5</f>
        <v>1.3</v>
      </c>
      <c r="J13" s="14"/>
      <c r="K13" s="14"/>
      <c r="L13" s="14">
        <f>628.9/5</f>
        <v>125.78</v>
      </c>
      <c r="M13" s="14"/>
      <c r="N13" s="14">
        <f>70/5</f>
        <v>14</v>
      </c>
      <c r="O13" s="14">
        <f>0.67/5</f>
        <v>0.13400000000000001</v>
      </c>
    </row>
    <row r="14" spans="1:19" s="77" customFormat="1">
      <c r="A14" s="17" t="s">
        <v>46</v>
      </c>
      <c r="B14" s="17"/>
      <c r="C14" s="17">
        <v>510</v>
      </c>
      <c r="D14" s="74">
        <f>SUM(D8:D13)</f>
        <v>16.875999999999998</v>
      </c>
      <c r="E14" s="74">
        <f>SUM(E8:E13)</f>
        <v>28.568000000000001</v>
      </c>
      <c r="F14" s="74">
        <f>SUM(F8:F13)</f>
        <v>67.066000000000003</v>
      </c>
      <c r="G14" s="74">
        <f>SUM(G8:G13)</f>
        <v>592.4</v>
      </c>
      <c r="H14" s="75">
        <v>0.11</v>
      </c>
      <c r="I14" s="76">
        <v>2.4700000000000002</v>
      </c>
      <c r="J14" s="76">
        <v>58</v>
      </c>
      <c r="K14" s="76">
        <v>0.23</v>
      </c>
      <c r="L14" s="76">
        <v>264.97000000000003</v>
      </c>
      <c r="M14" s="76">
        <v>73.2</v>
      </c>
      <c r="N14" s="76">
        <v>60.02</v>
      </c>
      <c r="O14" s="76">
        <v>1.59</v>
      </c>
    </row>
    <row r="15" spans="1:19" ht="18.75" customHeight="1">
      <c r="A15" s="156" t="s">
        <v>47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</row>
    <row r="16" spans="1:19">
      <c r="A16" s="12"/>
      <c r="B16" s="13"/>
      <c r="C16" s="1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27" s="46" customFormat="1" ht="25.5" customHeight="1">
      <c r="A17" s="12">
        <v>138</v>
      </c>
      <c r="B17" s="13" t="s">
        <v>121</v>
      </c>
      <c r="C17" s="12">
        <v>250</v>
      </c>
      <c r="D17" s="14">
        <v>2.8</v>
      </c>
      <c r="E17" s="14">
        <v>3</v>
      </c>
      <c r="F17" s="14">
        <v>20.5</v>
      </c>
      <c r="G17" s="14">
        <v>121</v>
      </c>
      <c r="H17" s="14"/>
      <c r="I17" s="14">
        <v>5.6</v>
      </c>
      <c r="J17" s="14"/>
      <c r="K17" s="14"/>
      <c r="L17" s="14">
        <v>105.4</v>
      </c>
      <c r="M17" s="14"/>
      <c r="N17" s="14">
        <v>18</v>
      </c>
      <c r="O17" s="14">
        <v>0.7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</row>
    <row r="18" spans="1:27" ht="41.4">
      <c r="A18" s="12">
        <v>17</v>
      </c>
      <c r="B18" s="13" t="s">
        <v>122</v>
      </c>
      <c r="C18" s="59">
        <v>160</v>
      </c>
      <c r="D18" s="14">
        <v>27.84</v>
      </c>
      <c r="E18" s="14">
        <v>20.16</v>
      </c>
      <c r="F18" s="14">
        <v>1.6</v>
      </c>
      <c r="G18" s="14">
        <v>473.6</v>
      </c>
      <c r="H18" s="14"/>
      <c r="I18" s="14"/>
      <c r="J18" s="14"/>
      <c r="K18" s="14"/>
      <c r="L18" s="14">
        <v>144.6</v>
      </c>
      <c r="M18" s="14"/>
      <c r="N18" s="14">
        <f>10.4*2</f>
        <v>20.8</v>
      </c>
      <c r="O18" s="14">
        <v>1.6</v>
      </c>
    </row>
    <row r="19" spans="1:27">
      <c r="A19" s="12">
        <v>304</v>
      </c>
      <c r="B19" s="13" t="s">
        <v>145</v>
      </c>
      <c r="C19" s="12">
        <v>180</v>
      </c>
      <c r="D19" s="14">
        <v>3.65</v>
      </c>
      <c r="E19" s="14">
        <v>11.69</v>
      </c>
      <c r="F19" s="14">
        <v>36.68</v>
      </c>
      <c r="G19" s="14">
        <v>209.7</v>
      </c>
      <c r="H19" s="14"/>
      <c r="I19" s="14"/>
      <c r="J19" s="14"/>
      <c r="K19" s="14"/>
      <c r="L19" s="14">
        <v>1.37</v>
      </c>
      <c r="M19" s="14"/>
      <c r="N19" s="14">
        <v>16.34</v>
      </c>
      <c r="O19" s="14">
        <v>0.53</v>
      </c>
    </row>
    <row r="20" spans="1:27">
      <c r="A20" s="12">
        <v>389</v>
      </c>
      <c r="B20" s="13" t="s">
        <v>124</v>
      </c>
      <c r="C20" s="61">
        <v>200</v>
      </c>
      <c r="D20" s="62">
        <f>1</f>
        <v>1</v>
      </c>
      <c r="E20" s="61">
        <v>0</v>
      </c>
      <c r="F20" s="62">
        <f>101/5</f>
        <v>20.2</v>
      </c>
      <c r="G20" s="61">
        <f>424/5</f>
        <v>84.8</v>
      </c>
      <c r="H20" s="62"/>
      <c r="I20" s="61">
        <f>30/5</f>
        <v>6</v>
      </c>
      <c r="J20" s="62"/>
      <c r="K20" s="61"/>
      <c r="L20" s="62">
        <f>70/5</f>
        <v>14</v>
      </c>
      <c r="M20" s="61"/>
      <c r="N20" s="62">
        <f>40/5</f>
        <v>8</v>
      </c>
      <c r="O20" s="63">
        <f>14/5</f>
        <v>2.8</v>
      </c>
    </row>
    <row r="21" spans="1:27">
      <c r="A21" s="15">
        <v>701</v>
      </c>
      <c r="B21" s="13" t="s">
        <v>52</v>
      </c>
      <c r="C21" s="12">
        <v>40</v>
      </c>
      <c r="D21" s="14">
        <v>3.8</v>
      </c>
      <c r="E21" s="14">
        <v>0.45</v>
      </c>
      <c r="F21" s="14">
        <v>23.35</v>
      </c>
      <c r="G21" s="14">
        <v>114.6</v>
      </c>
      <c r="H21" s="14">
        <v>0.05</v>
      </c>
      <c r="I21" s="14"/>
      <c r="J21" s="14"/>
      <c r="K21" s="14"/>
      <c r="L21" s="14">
        <v>9.3000000000000007</v>
      </c>
      <c r="M21" s="14"/>
      <c r="N21" s="14"/>
      <c r="O21" s="14">
        <v>0.62</v>
      </c>
    </row>
    <row r="22" spans="1:27">
      <c r="A22" s="15">
        <v>701</v>
      </c>
      <c r="B22" s="13" t="s">
        <v>119</v>
      </c>
      <c r="C22" s="12">
        <v>40</v>
      </c>
      <c r="D22" s="14">
        <v>3.04</v>
      </c>
      <c r="E22" s="14">
        <v>0.36</v>
      </c>
      <c r="F22" s="14">
        <v>18.68</v>
      </c>
      <c r="G22" s="14">
        <v>85.44</v>
      </c>
      <c r="H22" s="14">
        <v>0.05</v>
      </c>
      <c r="I22" s="14"/>
      <c r="J22" s="14"/>
      <c r="K22" s="14"/>
      <c r="L22" s="14">
        <v>9.3000000000000007</v>
      </c>
      <c r="M22" s="14"/>
      <c r="N22" s="14"/>
      <c r="O22" s="14">
        <v>0.62</v>
      </c>
    </row>
    <row r="23" spans="1:27" s="77" customFormat="1">
      <c r="A23" s="17" t="s">
        <v>46</v>
      </c>
      <c r="B23" s="18"/>
      <c r="C23" s="18">
        <v>870</v>
      </c>
      <c r="D23" s="74">
        <f>SUM(D16:D22)</f>
        <v>42.129999999999995</v>
      </c>
      <c r="E23" s="74">
        <f>SUM(E16:E22)</f>
        <v>35.660000000000004</v>
      </c>
      <c r="F23" s="74">
        <v>121.01</v>
      </c>
      <c r="G23" s="74">
        <v>1089.1400000000001</v>
      </c>
      <c r="H23" s="79">
        <v>0.1</v>
      </c>
      <c r="I23" s="79">
        <v>11.6</v>
      </c>
      <c r="J23" s="79"/>
      <c r="K23" s="79"/>
      <c r="L23" s="79">
        <v>188.97</v>
      </c>
      <c r="M23" s="79"/>
      <c r="N23" s="79">
        <v>63.14</v>
      </c>
      <c r="O23" s="79">
        <v>8.4600000000000009</v>
      </c>
    </row>
    <row r="24" spans="1:27" ht="18.75" customHeight="1">
      <c r="A24" s="156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</row>
    <row r="25" spans="1:27">
      <c r="A25" s="12"/>
      <c r="B25" s="13"/>
      <c r="C25" s="12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27">
      <c r="A26" s="12"/>
      <c r="B26" s="13"/>
      <c r="C26" s="12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27">
      <c r="A27" s="12"/>
      <c r="B27" s="13"/>
      <c r="C27" s="12"/>
      <c r="D27" s="14"/>
      <c r="E27" s="14"/>
      <c r="F27" s="14"/>
      <c r="G27" s="14"/>
      <c r="H27" s="80"/>
      <c r="I27" s="14"/>
      <c r="J27" s="14"/>
      <c r="K27" s="14"/>
      <c r="L27" s="14"/>
      <c r="M27" s="14"/>
      <c r="N27" s="14"/>
      <c r="O27" s="14"/>
    </row>
    <row r="28" spans="1:27" s="77" customFormat="1">
      <c r="A28" s="17" t="s">
        <v>46</v>
      </c>
      <c r="B28" s="18"/>
      <c r="C28" s="18"/>
      <c r="D28" s="74">
        <f>SUM(D25:D27)</f>
        <v>0</v>
      </c>
      <c r="E28" s="74">
        <f>SUM(E25:E27)</f>
        <v>0</v>
      </c>
      <c r="F28" s="74">
        <f>SUM(F25:F27)</f>
        <v>0</v>
      </c>
      <c r="G28" s="74">
        <f>SUM(G25:G27)</f>
        <v>0</v>
      </c>
      <c r="H28" s="79"/>
      <c r="I28" s="79"/>
      <c r="J28" s="79"/>
      <c r="K28" s="79"/>
      <c r="L28" s="79"/>
      <c r="M28" s="79"/>
      <c r="N28" s="79"/>
      <c r="O28" s="79"/>
    </row>
    <row r="29" spans="1:27" s="77" customFormat="1">
      <c r="A29" s="17" t="s">
        <v>55</v>
      </c>
      <c r="B29" s="18"/>
      <c r="C29" s="18">
        <v>1380</v>
      </c>
      <c r="D29" s="21">
        <f>SUM(D8:D13)+SUM(D16:D22)+SUM(D25:D27)</f>
        <v>59.005999999999993</v>
      </c>
      <c r="E29" s="21">
        <f>SUM(E8:E13)+SUM(E16:E22)+SUM(E25:E27)</f>
        <v>64.228000000000009</v>
      </c>
      <c r="F29" s="21">
        <v>188.08</v>
      </c>
      <c r="G29" s="21">
        <v>1681.54</v>
      </c>
      <c r="H29" s="79">
        <v>0.21</v>
      </c>
      <c r="I29" s="79">
        <v>14.07</v>
      </c>
      <c r="J29" s="79">
        <v>58</v>
      </c>
      <c r="K29" s="79">
        <v>0.23</v>
      </c>
      <c r="L29" s="79">
        <v>453.94</v>
      </c>
      <c r="M29" s="79">
        <v>73.2</v>
      </c>
      <c r="N29" s="79">
        <v>123.16</v>
      </c>
      <c r="O29" s="79">
        <v>28.78</v>
      </c>
    </row>
    <row r="31" spans="1:27" ht="39" customHeight="1">
      <c r="A31" s="81"/>
      <c r="B31" s="154" t="s">
        <v>56</v>
      </c>
      <c r="C31" s="154"/>
      <c r="D31" s="154"/>
      <c r="E31" s="154"/>
      <c r="F31" s="142" t="s">
        <v>57</v>
      </c>
      <c r="G31" s="142"/>
      <c r="H31" s="142"/>
      <c r="I31" s="31" t="s">
        <v>58</v>
      </c>
      <c r="K31" s="81"/>
      <c r="L31" s="81"/>
      <c r="M31" s="81"/>
      <c r="N31" s="81"/>
      <c r="O31" s="81"/>
      <c r="P31" s="81"/>
    </row>
    <row r="32" spans="1:27">
      <c r="A32" s="82"/>
      <c r="B32" s="154"/>
      <c r="C32" s="154"/>
      <c r="D32" s="154"/>
      <c r="E32" s="154"/>
      <c r="F32" s="30" t="s">
        <v>28</v>
      </c>
      <c r="G32" s="30" t="s">
        <v>29</v>
      </c>
      <c r="H32" s="30" t="s">
        <v>30</v>
      </c>
      <c r="I32" s="32"/>
      <c r="K32" s="81"/>
      <c r="L32" s="83"/>
      <c r="M32" s="83"/>
      <c r="N32" s="83"/>
      <c r="O32" s="83"/>
      <c r="P32" s="81"/>
    </row>
    <row r="33" spans="1:16" ht="15.75" customHeight="1">
      <c r="A33" s="82"/>
      <c r="B33" s="154" t="s">
        <v>59</v>
      </c>
      <c r="C33" s="154"/>
      <c r="D33" s="154"/>
      <c r="E33" s="154"/>
      <c r="F33" s="30" t="s">
        <v>60</v>
      </c>
      <c r="G33" s="30" t="s">
        <v>61</v>
      </c>
      <c r="H33" s="30" t="s">
        <v>62</v>
      </c>
      <c r="I33" s="30" t="s">
        <v>63</v>
      </c>
      <c r="K33" s="81"/>
      <c r="L33" s="83"/>
      <c r="M33" s="83"/>
      <c r="N33" s="83"/>
      <c r="O33" s="83"/>
      <c r="P33" s="81"/>
    </row>
    <row r="34" spans="1:16" ht="15.75" customHeight="1">
      <c r="A34" s="81"/>
      <c r="B34" s="154" t="s">
        <v>64</v>
      </c>
      <c r="C34" s="154"/>
      <c r="D34" s="154"/>
      <c r="E34" s="154"/>
      <c r="F34" s="33">
        <f>D29</f>
        <v>59.005999999999993</v>
      </c>
      <c r="G34" s="33">
        <f>E29</f>
        <v>64.228000000000009</v>
      </c>
      <c r="H34" s="33">
        <f>F29</f>
        <v>188.08</v>
      </c>
      <c r="I34" s="33">
        <f>G29</f>
        <v>1681.54</v>
      </c>
      <c r="K34" s="81"/>
      <c r="L34" s="81"/>
      <c r="M34" s="81"/>
      <c r="N34" s="81"/>
      <c r="O34" s="81"/>
      <c r="P34" s="81"/>
    </row>
    <row r="35" spans="1:16" s="46" customFormat="1">
      <c r="A35" s="82"/>
      <c r="K35" s="81"/>
      <c r="L35" s="83"/>
      <c r="M35" s="83"/>
      <c r="N35" s="83"/>
      <c r="O35" s="83"/>
      <c r="P35" s="51"/>
    </row>
    <row r="36" spans="1:16" ht="32.25" customHeight="1">
      <c r="A36" s="81"/>
      <c r="B36" s="138" t="s">
        <v>66</v>
      </c>
      <c r="C36" s="138"/>
      <c r="D36" s="138"/>
      <c r="E36" s="138"/>
      <c r="F36" s="138"/>
      <c r="G36" s="138"/>
      <c r="H36" s="138"/>
      <c r="K36" s="81"/>
      <c r="L36" s="81"/>
      <c r="M36" s="81"/>
      <c r="N36" s="81"/>
      <c r="O36" s="81"/>
      <c r="P36" s="81"/>
    </row>
    <row r="37" spans="1:16" ht="30" customHeight="1">
      <c r="A37" s="81"/>
      <c r="B37" s="84" t="s">
        <v>67</v>
      </c>
      <c r="C37" s="155" t="s">
        <v>68</v>
      </c>
      <c r="D37" s="155"/>
      <c r="E37" s="155"/>
      <c r="F37" s="155"/>
      <c r="G37" s="140" t="s">
        <v>69</v>
      </c>
      <c r="H37" s="140"/>
      <c r="J37" s="42" t="s">
        <v>14</v>
      </c>
      <c r="K37" s="43" t="s">
        <v>116</v>
      </c>
    </row>
    <row r="38" spans="1:16" ht="31.5" customHeight="1">
      <c r="A38" s="81"/>
      <c r="B38" s="155"/>
      <c r="C38" s="155" t="s">
        <v>70</v>
      </c>
      <c r="D38" s="155"/>
      <c r="E38" s="155" t="s">
        <v>71</v>
      </c>
      <c r="F38" s="155"/>
      <c r="G38" s="84" t="s">
        <v>70</v>
      </c>
      <c r="H38" s="84" t="s">
        <v>71</v>
      </c>
      <c r="J38" s="42" t="s">
        <v>16</v>
      </c>
      <c r="K38" s="43" t="s">
        <v>17</v>
      </c>
    </row>
    <row r="39" spans="1:16" ht="30" customHeight="1">
      <c r="A39" s="81"/>
      <c r="B39" s="155"/>
      <c r="C39" s="155" t="s">
        <v>72</v>
      </c>
      <c r="D39" s="155"/>
      <c r="E39" s="155" t="s">
        <v>72</v>
      </c>
      <c r="F39" s="155"/>
      <c r="G39" s="84" t="s">
        <v>72</v>
      </c>
      <c r="H39" s="84" t="s">
        <v>72</v>
      </c>
      <c r="J39" s="42" t="s">
        <v>18</v>
      </c>
      <c r="K39" s="43" t="s">
        <v>19</v>
      </c>
    </row>
    <row r="40" spans="1:16" ht="61.5" customHeight="1">
      <c r="A40" s="81"/>
      <c r="B40" s="85" t="s">
        <v>73</v>
      </c>
      <c r="C40" s="152">
        <v>80</v>
      </c>
      <c r="D40" s="152"/>
      <c r="E40" s="152">
        <v>80</v>
      </c>
      <c r="F40" s="152"/>
      <c r="G40" s="39">
        <v>40</v>
      </c>
      <c r="H40" s="39">
        <v>40</v>
      </c>
      <c r="J40" s="42" t="s">
        <v>20</v>
      </c>
      <c r="K40" s="43" t="s">
        <v>65</v>
      </c>
    </row>
    <row r="41" spans="1:16">
      <c r="A41" s="81"/>
      <c r="B41" s="85" t="s">
        <v>42</v>
      </c>
      <c r="C41" s="152">
        <v>150</v>
      </c>
      <c r="D41" s="152"/>
      <c r="E41" s="152">
        <v>150</v>
      </c>
      <c r="F41" s="152"/>
      <c r="G41" s="39">
        <f>50+8+5+40</f>
        <v>103</v>
      </c>
      <c r="H41" s="39">
        <v>103</v>
      </c>
    </row>
    <row r="42" spans="1:16">
      <c r="A42" s="81"/>
      <c r="B42" s="85" t="s">
        <v>74</v>
      </c>
      <c r="C42" s="152">
        <v>15</v>
      </c>
      <c r="D42" s="152"/>
      <c r="E42" s="152">
        <v>15</v>
      </c>
      <c r="F42" s="152"/>
      <c r="G42" s="39">
        <f>1+0.6+14</f>
        <v>15.6</v>
      </c>
      <c r="H42" s="39">
        <v>15.6</v>
      </c>
    </row>
    <row r="43" spans="1:16">
      <c r="A43" s="81"/>
      <c r="B43" s="85" t="s">
        <v>75</v>
      </c>
      <c r="C43" s="152">
        <v>45</v>
      </c>
      <c r="D43" s="152"/>
      <c r="E43" s="152">
        <v>45</v>
      </c>
      <c r="F43" s="152"/>
      <c r="G43" s="39"/>
      <c r="H43" s="39"/>
    </row>
    <row r="44" spans="1:16">
      <c r="A44" s="81"/>
      <c r="B44" s="85" t="s">
        <v>76</v>
      </c>
      <c r="C44" s="152">
        <v>15</v>
      </c>
      <c r="D44" s="152"/>
      <c r="E44" s="152">
        <v>15</v>
      </c>
      <c r="F44" s="152"/>
      <c r="G44" s="39">
        <v>10</v>
      </c>
      <c r="H44" s="39">
        <v>10</v>
      </c>
    </row>
    <row r="45" spans="1:16" ht="15" customHeight="1">
      <c r="A45" s="81"/>
      <c r="B45" s="85" t="s">
        <v>77</v>
      </c>
      <c r="C45" s="152" t="s">
        <v>78</v>
      </c>
      <c r="D45" s="152"/>
      <c r="E45" s="153">
        <v>188</v>
      </c>
      <c r="F45" s="153"/>
      <c r="G45" s="39">
        <v>53.4</v>
      </c>
      <c r="H45" s="39">
        <v>40</v>
      </c>
    </row>
    <row r="46" spans="1:16" ht="15" customHeight="1">
      <c r="A46" s="81"/>
      <c r="B46" s="85" t="s">
        <v>79</v>
      </c>
      <c r="C46" s="152">
        <v>350</v>
      </c>
      <c r="D46" s="152"/>
      <c r="E46" s="152" t="s">
        <v>80</v>
      </c>
      <c r="F46" s="152"/>
      <c r="G46" s="39">
        <f>10+9.6+2+2+142+3+5+6+92.6</f>
        <v>272.2</v>
      </c>
      <c r="H46" s="39">
        <f>8+8+2+114+2.5+4+6+74</f>
        <v>218.5</v>
      </c>
    </row>
    <row r="47" spans="1:16" ht="15" customHeight="1">
      <c r="A47" s="81"/>
      <c r="B47" s="85" t="s">
        <v>81</v>
      </c>
      <c r="C47" s="152">
        <v>200</v>
      </c>
      <c r="D47" s="152"/>
      <c r="E47" s="152" t="s">
        <v>82</v>
      </c>
      <c r="F47" s="152"/>
      <c r="G47" s="39">
        <f>100+14.3+20.7</f>
        <v>135</v>
      </c>
      <c r="H47" s="39">
        <f>100+10+18</f>
        <v>128</v>
      </c>
    </row>
    <row r="48" spans="1:16" ht="25.5" customHeight="1">
      <c r="A48" s="81"/>
      <c r="B48" s="85" t="s">
        <v>83</v>
      </c>
      <c r="C48" s="152">
        <v>15</v>
      </c>
      <c r="D48" s="152"/>
      <c r="E48" s="152">
        <v>15</v>
      </c>
      <c r="F48" s="152"/>
      <c r="G48" s="39">
        <f>5.6</f>
        <v>5.6</v>
      </c>
      <c r="H48" s="39">
        <v>10</v>
      </c>
    </row>
    <row r="49" spans="1:8" ht="26.4">
      <c r="A49" s="81"/>
      <c r="B49" s="85" t="s">
        <v>84</v>
      </c>
      <c r="C49" s="152">
        <v>200</v>
      </c>
      <c r="D49" s="152"/>
      <c r="E49" s="152">
        <v>200</v>
      </c>
      <c r="F49" s="152"/>
      <c r="G49" s="39">
        <v>200</v>
      </c>
      <c r="H49" s="39">
        <v>200</v>
      </c>
    </row>
    <row r="50" spans="1:8" ht="25.5" customHeight="1">
      <c r="A50" s="81"/>
      <c r="B50" s="85" t="s">
        <v>85</v>
      </c>
      <c r="C50" s="152" t="s">
        <v>86</v>
      </c>
      <c r="D50" s="152"/>
      <c r="E50" s="152">
        <v>70</v>
      </c>
      <c r="F50" s="152"/>
      <c r="G50" s="39"/>
      <c r="H50" s="39"/>
    </row>
    <row r="51" spans="1:8" ht="25.5" customHeight="1">
      <c r="A51" s="81"/>
      <c r="B51" s="85" t="s">
        <v>87</v>
      </c>
      <c r="C51" s="152" t="s">
        <v>88</v>
      </c>
      <c r="D51" s="152"/>
      <c r="E51" s="152">
        <v>35</v>
      </c>
      <c r="F51" s="152"/>
      <c r="G51" s="39">
        <f>85+40</f>
        <v>125</v>
      </c>
      <c r="H51" s="39">
        <f>35+25</f>
        <v>60</v>
      </c>
    </row>
    <row r="52" spans="1:8">
      <c r="A52" s="81"/>
      <c r="B52" s="85" t="s">
        <v>89</v>
      </c>
      <c r="C52" s="152">
        <v>60</v>
      </c>
      <c r="D52" s="152"/>
      <c r="E52" s="152">
        <v>58</v>
      </c>
      <c r="F52" s="152"/>
      <c r="G52" s="39"/>
      <c r="H52" s="39"/>
    </row>
    <row r="53" spans="1:8">
      <c r="A53" s="81"/>
      <c r="B53" s="85" t="s">
        <v>90</v>
      </c>
      <c r="C53" s="152">
        <v>15</v>
      </c>
      <c r="D53" s="152"/>
      <c r="E53" s="152">
        <v>14.7</v>
      </c>
      <c r="F53" s="152"/>
      <c r="G53" s="39"/>
      <c r="H53" s="39"/>
    </row>
    <row r="54" spans="1:8" ht="26.4">
      <c r="A54" s="81"/>
      <c r="B54" s="85" t="s">
        <v>91</v>
      </c>
      <c r="C54" s="152">
        <v>300</v>
      </c>
      <c r="D54" s="152"/>
      <c r="E54" s="152">
        <v>300</v>
      </c>
      <c r="F54" s="152"/>
      <c r="G54" s="39">
        <f>100+50+12</f>
        <v>162</v>
      </c>
      <c r="H54" s="39">
        <v>162</v>
      </c>
    </row>
    <row r="55" spans="1:8" ht="26.4">
      <c r="A55" s="81"/>
      <c r="B55" s="85" t="s">
        <v>92</v>
      </c>
      <c r="C55" s="152">
        <v>150</v>
      </c>
      <c r="D55" s="152"/>
      <c r="E55" s="152">
        <v>150</v>
      </c>
      <c r="F55" s="152"/>
      <c r="G55" s="39">
        <v>206</v>
      </c>
      <c r="H55" s="39">
        <v>200</v>
      </c>
    </row>
    <row r="56" spans="1:8" ht="26.4">
      <c r="A56" s="81"/>
      <c r="B56" s="85" t="s">
        <v>93</v>
      </c>
      <c r="C56" s="152">
        <v>50</v>
      </c>
      <c r="D56" s="152"/>
      <c r="E56" s="152">
        <v>50</v>
      </c>
      <c r="F56" s="152"/>
      <c r="G56" s="39"/>
      <c r="H56" s="39"/>
    </row>
    <row r="57" spans="1:8">
      <c r="A57" s="81"/>
      <c r="B57" s="85" t="s">
        <v>94</v>
      </c>
      <c r="C57" s="152">
        <v>10</v>
      </c>
      <c r="D57" s="152"/>
      <c r="E57" s="152">
        <v>9.8000000000000007</v>
      </c>
      <c r="F57" s="152"/>
      <c r="G57" s="39"/>
      <c r="H57" s="39"/>
    </row>
    <row r="58" spans="1:8" ht="26.4">
      <c r="A58" s="81"/>
      <c r="B58" s="85" t="s">
        <v>95</v>
      </c>
      <c r="C58" s="152">
        <v>10</v>
      </c>
      <c r="D58" s="152"/>
      <c r="E58" s="152">
        <v>10</v>
      </c>
      <c r="F58" s="152"/>
      <c r="G58" s="41"/>
      <c r="H58" s="41"/>
    </row>
    <row r="59" spans="1:8">
      <c r="A59" s="81"/>
      <c r="B59" s="85" t="s">
        <v>43</v>
      </c>
      <c r="C59" s="152">
        <v>30</v>
      </c>
      <c r="D59" s="152"/>
      <c r="E59" s="152">
        <v>30</v>
      </c>
      <c r="F59" s="152"/>
      <c r="G59" s="39">
        <f>10+4+10+2+5+0.6</f>
        <v>31.6</v>
      </c>
      <c r="H59" s="39">
        <f>31.6</f>
        <v>31.6</v>
      </c>
    </row>
    <row r="60" spans="1:8">
      <c r="A60" s="81"/>
      <c r="B60" s="85" t="s">
        <v>96</v>
      </c>
      <c r="C60" s="152">
        <v>15</v>
      </c>
      <c r="D60" s="152"/>
      <c r="E60" s="152">
        <v>15</v>
      </c>
      <c r="F60" s="152"/>
      <c r="G60" s="39">
        <f>2+4+3+5+0.15</f>
        <v>14.15</v>
      </c>
      <c r="H60" s="39">
        <v>14.15</v>
      </c>
    </row>
    <row r="61" spans="1:8" ht="15" customHeight="1">
      <c r="A61" s="81"/>
      <c r="B61" s="85" t="s">
        <v>97</v>
      </c>
      <c r="C61" s="152" t="s">
        <v>98</v>
      </c>
      <c r="D61" s="152"/>
      <c r="E61" s="152">
        <v>40</v>
      </c>
      <c r="F61" s="152"/>
      <c r="G61" s="39">
        <f>80+0.7+0.7</f>
        <v>81.400000000000006</v>
      </c>
      <c r="H61" s="39">
        <v>81.400000000000006</v>
      </c>
    </row>
    <row r="62" spans="1:8">
      <c r="A62" s="81"/>
      <c r="B62" s="85" t="s">
        <v>99</v>
      </c>
      <c r="C62" s="152">
        <v>40</v>
      </c>
      <c r="D62" s="152"/>
      <c r="E62" s="153">
        <v>40</v>
      </c>
      <c r="F62" s="153"/>
      <c r="G62" s="39">
        <f>1+20+3+2+5.4+0.75</f>
        <v>32.15</v>
      </c>
      <c r="H62" s="39">
        <v>32.15</v>
      </c>
    </row>
    <row r="63" spans="1:8">
      <c r="A63" s="81"/>
      <c r="B63" s="85" t="s">
        <v>100</v>
      </c>
      <c r="C63" s="153">
        <v>10</v>
      </c>
      <c r="D63" s="153"/>
      <c r="E63" s="152">
        <v>10</v>
      </c>
      <c r="F63" s="152"/>
      <c r="G63" s="39"/>
      <c r="H63" s="39"/>
    </row>
    <row r="64" spans="1:8">
      <c r="A64" s="81"/>
      <c r="B64" s="85" t="s">
        <v>101</v>
      </c>
      <c r="C64" s="152">
        <v>0.4</v>
      </c>
      <c r="D64" s="152"/>
      <c r="E64" s="152">
        <v>0.4</v>
      </c>
      <c r="F64" s="152"/>
      <c r="G64" s="39"/>
      <c r="H64" s="39"/>
    </row>
    <row r="65" spans="1:8">
      <c r="A65" s="81"/>
      <c r="B65" s="85" t="s">
        <v>102</v>
      </c>
      <c r="C65" s="152">
        <v>1.2</v>
      </c>
      <c r="D65" s="152"/>
      <c r="E65" s="152">
        <v>1.2</v>
      </c>
      <c r="F65" s="152"/>
      <c r="G65" s="39"/>
      <c r="H65" s="39"/>
    </row>
    <row r="66" spans="1:8">
      <c r="A66" s="81"/>
      <c r="B66" s="85" t="s">
        <v>103</v>
      </c>
      <c r="C66" s="152">
        <v>1</v>
      </c>
      <c r="D66" s="152"/>
      <c r="E66" s="152">
        <v>1</v>
      </c>
      <c r="F66" s="152"/>
      <c r="G66" s="39">
        <v>0.1</v>
      </c>
      <c r="H66" s="39">
        <v>0.1</v>
      </c>
    </row>
    <row r="67" spans="1:8">
      <c r="A67" s="81"/>
      <c r="B67" s="85" t="s">
        <v>104</v>
      </c>
      <c r="C67" s="152">
        <v>5</v>
      </c>
      <c r="D67" s="152"/>
      <c r="E67" s="152">
        <v>5</v>
      </c>
      <c r="F67" s="152"/>
      <c r="G67" s="39">
        <v>3.1</v>
      </c>
      <c r="H67" s="39">
        <v>3.1</v>
      </c>
    </row>
    <row r="68" spans="1:8">
      <c r="A68" s="81"/>
      <c r="B68" s="81"/>
      <c r="C68" s="81"/>
      <c r="D68" s="81"/>
      <c r="E68" s="81"/>
      <c r="F68" s="81"/>
      <c r="G68" s="81"/>
      <c r="H68" s="81"/>
    </row>
    <row r="69" spans="1:8">
      <c r="A69" s="81"/>
      <c r="B69" s="81"/>
      <c r="C69" s="81"/>
      <c r="D69" s="81"/>
      <c r="E69" s="81"/>
      <c r="F69" s="81"/>
      <c r="G69" s="81"/>
      <c r="H69" s="81"/>
    </row>
  </sheetData>
  <mergeCells count="80">
    <mergeCell ref="H5:K5"/>
    <mergeCell ref="L5:O5"/>
    <mergeCell ref="A7:O7"/>
    <mergeCell ref="A9:A12"/>
    <mergeCell ref="D11:O12"/>
    <mergeCell ref="A5:A6"/>
    <mergeCell ref="B5:B6"/>
    <mergeCell ref="C5:C6"/>
    <mergeCell ref="D5:F5"/>
    <mergeCell ref="G5:G6"/>
    <mergeCell ref="A15:O15"/>
    <mergeCell ref="A24:O24"/>
    <mergeCell ref="B31:E32"/>
    <mergeCell ref="F31:H31"/>
    <mergeCell ref="B33:E33"/>
    <mergeCell ref="B34:E34"/>
    <mergeCell ref="B36:H36"/>
    <mergeCell ref="C37:F37"/>
    <mergeCell ref="G37:H37"/>
    <mergeCell ref="B38:B39"/>
    <mergeCell ref="C38:D38"/>
    <mergeCell ref="E38:F38"/>
    <mergeCell ref="C39:D39"/>
    <mergeCell ref="E39:F39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C53:D53"/>
    <mergeCell ref="E53:F53"/>
    <mergeCell ref="C54:D54"/>
    <mergeCell ref="E54:F54"/>
    <mergeCell ref="C55:D55"/>
    <mergeCell ref="E55:F55"/>
    <mergeCell ref="C56:D56"/>
    <mergeCell ref="E56:F56"/>
    <mergeCell ref="C57:D57"/>
    <mergeCell ref="E57:F57"/>
    <mergeCell ref="C58:D58"/>
    <mergeCell ref="E58:F58"/>
    <mergeCell ref="C59:D59"/>
    <mergeCell ref="E59:F59"/>
    <mergeCell ref="C60:D60"/>
    <mergeCell ref="E60:F60"/>
    <mergeCell ref="C61:D61"/>
    <mergeCell ref="E61:F61"/>
    <mergeCell ref="C62:D62"/>
    <mergeCell ref="E62:F62"/>
    <mergeCell ref="C63:D63"/>
    <mergeCell ref="E63:F63"/>
    <mergeCell ref="C67:D67"/>
    <mergeCell ref="E67:F67"/>
    <mergeCell ref="C64:D64"/>
    <mergeCell ref="E64:F64"/>
    <mergeCell ref="C65:D65"/>
    <mergeCell ref="E65:F65"/>
    <mergeCell ref="C66:D66"/>
    <mergeCell ref="E66:F66"/>
  </mergeCells>
  <pageMargins left="0.70833333333333304" right="0.70833333333333304" top="0.74791666666666701" bottom="0.74791666666666701" header="0.51180555555555496" footer="0.51180555555555496"/>
  <pageSetup paperSize="9" scale="73" firstPageNumber="0" orientation="landscape" horizontalDpi="300" verticalDpi="300" r:id="rId1"/>
  <rowBreaks count="1" manualBreakCount="1">
    <brk id="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O70"/>
  <sheetViews>
    <sheetView view="pageBreakPreview" zoomScale="90" zoomScaleNormal="90" zoomScaleSheetLayoutView="90" zoomScalePageLayoutView="90" workbookViewId="0">
      <selection activeCell="A25" sqref="A25:O25"/>
    </sheetView>
  </sheetViews>
  <sheetFormatPr defaultColWidth="8.6640625" defaultRowHeight="14.4"/>
  <cols>
    <col min="1" max="1" width="13.6640625" customWidth="1"/>
    <col min="2" max="2" width="27.109375" customWidth="1"/>
    <col min="4" max="4" width="10.109375" customWidth="1"/>
    <col min="6" max="6" width="11.88671875" customWidth="1"/>
    <col min="7" max="7" width="13.44140625" customWidth="1"/>
    <col min="11" max="11" width="13.44140625" customWidth="1"/>
    <col min="12" max="13" width="8.88671875" customWidth="1"/>
  </cols>
  <sheetData>
    <row r="1" spans="1:15" ht="15.6">
      <c r="A1" s="42" t="s">
        <v>14</v>
      </c>
      <c r="B1" s="43" t="s">
        <v>125</v>
      </c>
    </row>
    <row r="2" spans="1:15" ht="15.6">
      <c r="A2" s="42" t="s">
        <v>16</v>
      </c>
      <c r="B2" s="43" t="s">
        <v>17</v>
      </c>
    </row>
    <row r="3" spans="1:15" ht="15.6">
      <c r="A3" s="42" t="s">
        <v>18</v>
      </c>
      <c r="B3" s="43" t="s">
        <v>19</v>
      </c>
    </row>
    <row r="4" spans="1:15" ht="31.2">
      <c r="A4" s="42" t="s">
        <v>20</v>
      </c>
      <c r="B4" s="130" t="s">
        <v>159</v>
      </c>
    </row>
    <row r="5" spans="1:15" ht="15.75" customHeight="1">
      <c r="A5" s="150" t="s">
        <v>21</v>
      </c>
      <c r="B5" s="150" t="s">
        <v>22</v>
      </c>
      <c r="C5" s="150" t="s">
        <v>23</v>
      </c>
      <c r="D5" s="150" t="s">
        <v>24</v>
      </c>
      <c r="E5" s="150"/>
      <c r="F5" s="150"/>
      <c r="G5" s="150" t="s">
        <v>25</v>
      </c>
      <c r="H5" s="150" t="s">
        <v>26</v>
      </c>
      <c r="I5" s="150"/>
      <c r="J5" s="150"/>
      <c r="K5" s="150"/>
      <c r="L5" s="150" t="s">
        <v>27</v>
      </c>
      <c r="M5" s="150"/>
      <c r="N5" s="150"/>
      <c r="O5" s="150"/>
    </row>
    <row r="6" spans="1:15" ht="15.6">
      <c r="A6" s="150"/>
      <c r="B6" s="150"/>
      <c r="C6" s="150"/>
      <c r="D6" s="44" t="s">
        <v>28</v>
      </c>
      <c r="E6" s="44" t="s">
        <v>29</v>
      </c>
      <c r="F6" s="44" t="s">
        <v>30</v>
      </c>
      <c r="G6" s="150"/>
      <c r="H6" s="44" t="s">
        <v>117</v>
      </c>
      <c r="I6" s="44" t="s">
        <v>32</v>
      </c>
      <c r="J6" s="44" t="s">
        <v>33</v>
      </c>
      <c r="K6" s="44" t="s">
        <v>34</v>
      </c>
      <c r="L6" s="44" t="s">
        <v>35</v>
      </c>
      <c r="M6" s="44" t="s">
        <v>36</v>
      </c>
      <c r="N6" s="44" t="s">
        <v>37</v>
      </c>
      <c r="O6" s="44" t="s">
        <v>38</v>
      </c>
    </row>
    <row r="7" spans="1:15" ht="18.75" customHeight="1">
      <c r="A7" s="156" t="s">
        <v>39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</row>
    <row r="8" spans="1:15" ht="24">
      <c r="A8" s="12">
        <v>182</v>
      </c>
      <c r="B8" s="86" t="s">
        <v>126</v>
      </c>
      <c r="C8" s="12">
        <v>250</v>
      </c>
      <c r="D8" s="14">
        <v>7.51</v>
      </c>
      <c r="E8" s="14">
        <v>11.72</v>
      </c>
      <c r="F8" s="14">
        <v>37.049999999999997</v>
      </c>
      <c r="G8" s="14">
        <v>285</v>
      </c>
      <c r="H8" s="14"/>
      <c r="I8" s="14">
        <v>1.17</v>
      </c>
      <c r="J8" s="14"/>
      <c r="K8" s="14"/>
      <c r="L8" s="14">
        <v>138.1</v>
      </c>
      <c r="M8" s="14"/>
      <c r="N8" s="14">
        <v>47.6</v>
      </c>
      <c r="O8" s="14">
        <v>1.23</v>
      </c>
    </row>
    <row r="9" spans="1:15" ht="41.4">
      <c r="A9" s="145">
        <v>3</v>
      </c>
      <c r="B9" s="13" t="s">
        <v>41</v>
      </c>
      <c r="C9" s="12" t="s">
        <v>127</v>
      </c>
      <c r="D9" s="14">
        <v>6.53</v>
      </c>
      <c r="E9" s="14">
        <v>11.91</v>
      </c>
      <c r="F9" s="14">
        <v>12.31</v>
      </c>
      <c r="G9" s="14">
        <v>170.5</v>
      </c>
      <c r="H9" s="14">
        <v>0.06</v>
      </c>
      <c r="I9" s="14">
        <v>0.4</v>
      </c>
      <c r="J9" s="14">
        <v>0.11</v>
      </c>
      <c r="K9" s="14">
        <v>0.85</v>
      </c>
      <c r="L9" s="14">
        <v>259.89999999999998</v>
      </c>
      <c r="M9" s="14">
        <v>162.6</v>
      </c>
      <c r="N9" s="14">
        <v>21.95</v>
      </c>
      <c r="O9" s="14">
        <v>0.62</v>
      </c>
    </row>
    <row r="10" spans="1:15">
      <c r="A10" s="145"/>
      <c r="B10" s="87" t="s">
        <v>42</v>
      </c>
      <c r="C10" s="16">
        <v>40</v>
      </c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</row>
    <row r="11" spans="1:15">
      <c r="A11" s="145"/>
      <c r="B11" s="87" t="s">
        <v>43</v>
      </c>
      <c r="C11" s="16">
        <v>20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</row>
    <row r="12" spans="1:15">
      <c r="A12" s="145"/>
      <c r="B12" s="87" t="s">
        <v>128</v>
      </c>
      <c r="C12" s="16">
        <v>20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</row>
    <row r="13" spans="1:15">
      <c r="A13" s="12">
        <v>382</v>
      </c>
      <c r="B13" s="13" t="s">
        <v>45</v>
      </c>
      <c r="C13" s="12">
        <v>200</v>
      </c>
      <c r="D13" s="14">
        <f>20.39/5</f>
        <v>4.0780000000000003</v>
      </c>
      <c r="E13" s="14">
        <f>17.72/5</f>
        <v>3.5439999999999996</v>
      </c>
      <c r="F13" s="14">
        <f>87.89/5</f>
        <v>17.577999999999999</v>
      </c>
      <c r="G13" s="14">
        <f>593/5</f>
        <v>118.6</v>
      </c>
      <c r="H13" s="14"/>
      <c r="I13" s="14">
        <f>7.94/5</f>
        <v>1.5880000000000001</v>
      </c>
      <c r="J13" s="14"/>
      <c r="K13" s="14"/>
      <c r="L13" s="14">
        <f>761.1/5</f>
        <v>152.22</v>
      </c>
      <c r="M13" s="14"/>
      <c r="N13" s="14">
        <f>106.7/5</f>
        <v>21.34</v>
      </c>
      <c r="O13" s="14">
        <f>2.39/5</f>
        <v>0.47800000000000004</v>
      </c>
    </row>
    <row r="14" spans="1:15">
      <c r="A14" s="15"/>
      <c r="B14" s="13"/>
      <c r="C14" s="1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>
      <c r="A15" s="18" t="s">
        <v>46</v>
      </c>
      <c r="B15" s="18"/>
      <c r="C15" s="18">
        <v>530</v>
      </c>
      <c r="D15" s="19">
        <f>SUM(D8:D14)</f>
        <v>18.117999999999999</v>
      </c>
      <c r="E15" s="19">
        <f>SUM(E8:E14)</f>
        <v>27.174000000000003</v>
      </c>
      <c r="F15" s="19">
        <f>SUM(F8:F14)</f>
        <v>66.938000000000002</v>
      </c>
      <c r="G15" s="19">
        <f>SUM(G8:G14)</f>
        <v>574.1</v>
      </c>
      <c r="H15" s="19">
        <v>0.06</v>
      </c>
      <c r="I15" s="19">
        <v>3.16</v>
      </c>
      <c r="J15" s="19">
        <v>0.11</v>
      </c>
      <c r="K15" s="19">
        <v>0.85</v>
      </c>
      <c r="L15" s="19">
        <v>550.22</v>
      </c>
      <c r="M15" s="19">
        <v>162.6</v>
      </c>
      <c r="N15" s="19">
        <v>90.89</v>
      </c>
      <c r="O15" s="19">
        <v>2.33</v>
      </c>
    </row>
    <row r="16" spans="1:15" ht="18.75" customHeight="1">
      <c r="A16" s="149" t="s">
        <v>47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</row>
    <row r="17" spans="1:15">
      <c r="A17" s="12"/>
      <c r="B17" s="13"/>
      <c r="C17" s="1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27.6">
      <c r="A18" s="12">
        <v>88</v>
      </c>
      <c r="B18" s="13" t="s">
        <v>129</v>
      </c>
      <c r="C18" s="12">
        <v>250</v>
      </c>
      <c r="D18" s="14">
        <f>(7.06/4)+0.8</f>
        <v>2.5649999999999999</v>
      </c>
      <c r="E18" s="14">
        <f>(19.8/4)+0.2</f>
        <v>5.15</v>
      </c>
      <c r="F18" s="14">
        <f>31.61/4</f>
        <v>7.9024999999999999</v>
      </c>
      <c r="G18" s="14">
        <f>(359/4)+5+30</f>
        <v>124.75</v>
      </c>
      <c r="H18" s="14"/>
      <c r="I18" s="14">
        <f>63.1/4</f>
        <v>15.775</v>
      </c>
      <c r="J18" s="14"/>
      <c r="K18" s="14"/>
      <c r="L18" s="14">
        <f>(197/4)+2</f>
        <v>51.25</v>
      </c>
      <c r="M18" s="14"/>
      <c r="N18" s="14">
        <f>88.5/4</f>
        <v>22.125</v>
      </c>
      <c r="O18" s="14">
        <f>3.3/4</f>
        <v>0.82499999999999996</v>
      </c>
    </row>
    <row r="19" spans="1:15">
      <c r="A19" s="12">
        <v>302</v>
      </c>
      <c r="B19" s="13" t="s">
        <v>130</v>
      </c>
      <c r="C19" s="12" t="s">
        <v>131</v>
      </c>
      <c r="D19" s="14">
        <v>14</v>
      </c>
      <c r="E19" s="14">
        <v>8.6999999999999993</v>
      </c>
      <c r="F19" s="14">
        <v>57.9</v>
      </c>
      <c r="G19" s="14">
        <v>372</v>
      </c>
      <c r="H19" s="14">
        <v>0.05</v>
      </c>
      <c r="I19" s="14"/>
      <c r="J19" s="14"/>
      <c r="K19" s="14">
        <v>1.71</v>
      </c>
      <c r="L19" s="14">
        <v>21.57</v>
      </c>
      <c r="M19" s="14"/>
      <c r="N19" s="14">
        <v>204.08</v>
      </c>
      <c r="O19" s="14">
        <v>6.99</v>
      </c>
    </row>
    <row r="20" spans="1:15">
      <c r="A20" s="12">
        <v>413</v>
      </c>
      <c r="B20" s="13" t="s">
        <v>132</v>
      </c>
      <c r="C20" s="12">
        <v>100</v>
      </c>
      <c r="D20" s="14">
        <v>8.8800000000000008</v>
      </c>
      <c r="E20" s="14">
        <v>19.12</v>
      </c>
      <c r="F20" s="14">
        <v>1.28</v>
      </c>
      <c r="G20" s="14">
        <v>212.8</v>
      </c>
      <c r="H20" s="14"/>
      <c r="I20" s="14"/>
      <c r="J20" s="14"/>
      <c r="K20" s="14"/>
      <c r="L20" s="14">
        <v>10.83</v>
      </c>
      <c r="M20" s="14"/>
      <c r="N20" s="14"/>
      <c r="O20" s="14">
        <v>0.6</v>
      </c>
    </row>
    <row r="21" spans="1:15">
      <c r="A21" s="12">
        <v>389</v>
      </c>
      <c r="B21" s="13" t="s">
        <v>133</v>
      </c>
      <c r="C21" s="61">
        <v>200</v>
      </c>
      <c r="D21" s="62">
        <f>1</f>
        <v>1</v>
      </c>
      <c r="E21" s="61">
        <v>0</v>
      </c>
      <c r="F21" s="62">
        <f>101/5</f>
        <v>20.2</v>
      </c>
      <c r="G21" s="61">
        <f>424/5</f>
        <v>84.8</v>
      </c>
      <c r="H21" s="62"/>
      <c r="I21" s="61">
        <f>30/5</f>
        <v>6</v>
      </c>
      <c r="J21" s="62"/>
      <c r="K21" s="61"/>
      <c r="L21" s="62">
        <f>70/5</f>
        <v>14</v>
      </c>
      <c r="M21" s="61"/>
      <c r="N21" s="62">
        <f>40/5</f>
        <v>8</v>
      </c>
      <c r="O21" s="63">
        <f>14/5</f>
        <v>2.8</v>
      </c>
    </row>
    <row r="22" spans="1:15">
      <c r="A22" s="15">
        <v>701</v>
      </c>
      <c r="B22" s="13" t="s">
        <v>52</v>
      </c>
      <c r="C22" s="12">
        <v>40</v>
      </c>
      <c r="D22" s="14">
        <v>3.8</v>
      </c>
      <c r="E22" s="14">
        <v>0.45</v>
      </c>
      <c r="F22" s="14">
        <v>23.35</v>
      </c>
      <c r="G22" s="14">
        <v>114.6</v>
      </c>
      <c r="H22" s="14">
        <v>0.05</v>
      </c>
      <c r="I22" s="14"/>
      <c r="J22" s="14"/>
      <c r="K22" s="14"/>
      <c r="L22" s="14">
        <v>9.3000000000000007</v>
      </c>
      <c r="M22" s="14"/>
      <c r="N22" s="14"/>
      <c r="O22" s="14">
        <v>0.62</v>
      </c>
    </row>
    <row r="23" spans="1:15">
      <c r="A23" s="15">
        <v>701</v>
      </c>
      <c r="B23" s="13" t="s">
        <v>42</v>
      </c>
      <c r="C23" s="12">
        <v>40</v>
      </c>
      <c r="D23" s="14">
        <v>3.04</v>
      </c>
      <c r="E23" s="14">
        <v>0.36</v>
      </c>
      <c r="F23" s="14">
        <v>18.68</v>
      </c>
      <c r="G23" s="14">
        <v>85.44</v>
      </c>
      <c r="H23" s="14">
        <v>0.05</v>
      </c>
      <c r="I23" s="14"/>
      <c r="J23" s="14"/>
      <c r="K23" s="14"/>
      <c r="L23" s="14">
        <v>9.3000000000000007</v>
      </c>
      <c r="M23" s="14"/>
      <c r="N23" s="14"/>
      <c r="O23" s="14">
        <v>0.62</v>
      </c>
    </row>
    <row r="24" spans="1:15">
      <c r="A24" s="17" t="s">
        <v>46</v>
      </c>
      <c r="B24" s="18"/>
      <c r="C24" s="18">
        <v>815</v>
      </c>
      <c r="D24" s="19">
        <v>33.29</v>
      </c>
      <c r="E24" s="19">
        <f>SUM(E17:E23)</f>
        <v>33.78</v>
      </c>
      <c r="F24" s="19">
        <f>SUM(F17:F23)</f>
        <v>129.3125</v>
      </c>
      <c r="G24" s="19">
        <f>SUM(G17:G23)</f>
        <v>994.38999999999987</v>
      </c>
      <c r="H24" s="19">
        <v>0.15</v>
      </c>
      <c r="I24" s="19">
        <v>21.78</v>
      </c>
      <c r="J24" s="19"/>
      <c r="K24" s="19">
        <v>1.71</v>
      </c>
      <c r="L24" s="19">
        <v>116.25</v>
      </c>
      <c r="M24" s="19"/>
      <c r="N24" s="19">
        <v>234.21</v>
      </c>
      <c r="O24" s="19">
        <v>12.46</v>
      </c>
    </row>
    <row r="25" spans="1:15" ht="18.75" customHeight="1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</row>
    <row r="26" spans="1:15" s="8" customFormat="1" ht="13.8">
      <c r="A26" s="12"/>
      <c r="B26" s="13"/>
      <c r="C26" s="12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s="8" customFormat="1" ht="18.75" customHeight="1">
      <c r="A27" s="12"/>
      <c r="B27" s="13"/>
      <c r="C27" s="12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s="8" customFormat="1" ht="13.8">
      <c r="A28" s="12"/>
      <c r="B28" s="13"/>
      <c r="C28" s="1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>
      <c r="A29" s="17" t="s">
        <v>54</v>
      </c>
      <c r="B29" s="18"/>
      <c r="C29" s="18"/>
      <c r="D29" s="19">
        <f>SUM(D26:D28)</f>
        <v>0</v>
      </c>
      <c r="E29" s="19">
        <f>SUM(E26:E28)</f>
        <v>0</v>
      </c>
      <c r="F29" s="19">
        <f>SUM(F26:F28)</f>
        <v>0</v>
      </c>
      <c r="G29" s="19">
        <f>SUM(G26:G28)</f>
        <v>0</v>
      </c>
      <c r="H29" s="19"/>
      <c r="I29" s="19"/>
      <c r="J29" s="19"/>
      <c r="K29" s="19"/>
      <c r="L29" s="19"/>
      <c r="M29" s="19"/>
      <c r="N29" s="19"/>
      <c r="O29" s="19"/>
    </row>
    <row r="30" spans="1:15" ht="27.6">
      <c r="A30" s="17" t="s">
        <v>55</v>
      </c>
      <c r="B30" s="18"/>
      <c r="C30" s="18">
        <v>1345</v>
      </c>
      <c r="D30" s="88">
        <v>51.41</v>
      </c>
      <c r="E30" s="88">
        <f>SUM(E8:E14)+SUM(E17:E23)+SUM(E26:E28)</f>
        <v>60.954000000000008</v>
      </c>
      <c r="F30" s="88">
        <f>SUM(F8:F14)+SUM(F17:F23)+SUM(F26:F28)</f>
        <v>196.25049999999999</v>
      </c>
      <c r="G30" s="88">
        <v>1568.49</v>
      </c>
      <c r="H30" s="74">
        <v>0.21</v>
      </c>
      <c r="I30" s="74">
        <v>24.94</v>
      </c>
      <c r="J30" s="74">
        <v>0.11</v>
      </c>
      <c r="K30" s="74">
        <v>0.85</v>
      </c>
      <c r="L30" s="74">
        <v>666.47</v>
      </c>
      <c r="M30" s="74">
        <v>162.6</v>
      </c>
      <c r="N30" s="74">
        <v>325.10000000000002</v>
      </c>
      <c r="O30" s="74">
        <v>14.79</v>
      </c>
    </row>
    <row r="32" spans="1:15" ht="39" customHeight="1">
      <c r="B32" s="137" t="s">
        <v>56</v>
      </c>
      <c r="C32" s="137"/>
      <c r="D32" s="137"/>
      <c r="E32" s="137"/>
      <c r="F32" s="142" t="s">
        <v>57</v>
      </c>
      <c r="G32" s="142"/>
      <c r="H32" s="142"/>
      <c r="I32" s="31" t="s">
        <v>58</v>
      </c>
    </row>
    <row r="33" spans="1:12">
      <c r="B33" s="137"/>
      <c r="C33" s="137"/>
      <c r="D33" s="137"/>
      <c r="E33" s="137"/>
      <c r="F33" s="30" t="s">
        <v>28</v>
      </c>
      <c r="G33" s="30" t="s">
        <v>29</v>
      </c>
      <c r="H33" s="30" t="s">
        <v>30</v>
      </c>
      <c r="I33" s="32"/>
    </row>
    <row r="34" spans="1:12" ht="15.75" customHeight="1">
      <c r="B34" s="137" t="s">
        <v>59</v>
      </c>
      <c r="C34" s="137"/>
      <c r="D34" s="137"/>
      <c r="E34" s="137"/>
      <c r="F34" s="30" t="s">
        <v>60</v>
      </c>
      <c r="G34" s="30" t="s">
        <v>61</v>
      </c>
      <c r="H34" s="30" t="s">
        <v>62</v>
      </c>
      <c r="I34" s="30" t="s">
        <v>63</v>
      </c>
    </row>
    <row r="35" spans="1:12" ht="15.75" customHeight="1">
      <c r="B35" s="137" t="s">
        <v>64</v>
      </c>
      <c r="C35" s="137"/>
      <c r="D35" s="137"/>
      <c r="E35" s="137"/>
      <c r="F35" s="33">
        <f>D30</f>
        <v>51.41</v>
      </c>
      <c r="G35" s="33">
        <f>E30</f>
        <v>60.954000000000008</v>
      </c>
      <c r="H35" s="33">
        <f>F30</f>
        <v>196.25049999999999</v>
      </c>
      <c r="I35" s="33">
        <f>G30</f>
        <v>1568.49</v>
      </c>
    </row>
    <row r="37" spans="1:12" ht="30.75" customHeight="1">
      <c r="A37" s="81"/>
      <c r="B37" s="138" t="s">
        <v>66</v>
      </c>
      <c r="C37" s="138"/>
      <c r="D37" s="138"/>
      <c r="E37" s="138"/>
      <c r="F37" s="138"/>
      <c r="G37" s="138"/>
      <c r="H37" s="138"/>
    </row>
    <row r="38" spans="1:12" ht="21.75" customHeight="1">
      <c r="A38" s="81"/>
      <c r="B38" s="36" t="s">
        <v>67</v>
      </c>
      <c r="C38" s="139" t="s">
        <v>68</v>
      </c>
      <c r="D38" s="139"/>
      <c r="E38" s="139"/>
      <c r="F38" s="139"/>
      <c r="G38" s="140" t="s">
        <v>69</v>
      </c>
      <c r="H38" s="140"/>
      <c r="K38" s="42" t="s">
        <v>14</v>
      </c>
      <c r="L38" s="43" t="s">
        <v>125</v>
      </c>
    </row>
    <row r="39" spans="1:12" ht="21.75" customHeight="1">
      <c r="A39" s="81"/>
      <c r="B39" s="139"/>
      <c r="C39" s="139" t="s">
        <v>70</v>
      </c>
      <c r="D39" s="139"/>
      <c r="E39" s="139" t="s">
        <v>71</v>
      </c>
      <c r="F39" s="139"/>
      <c r="G39" s="36" t="s">
        <v>70</v>
      </c>
      <c r="H39" s="36" t="s">
        <v>71</v>
      </c>
      <c r="K39" s="42" t="s">
        <v>16</v>
      </c>
      <c r="L39" s="43" t="s">
        <v>17</v>
      </c>
    </row>
    <row r="40" spans="1:12" ht="30" customHeight="1">
      <c r="A40" s="81"/>
      <c r="B40" s="139"/>
      <c r="C40" s="139" t="s">
        <v>72</v>
      </c>
      <c r="D40" s="139"/>
      <c r="E40" s="139" t="s">
        <v>72</v>
      </c>
      <c r="F40" s="139"/>
      <c r="G40" s="36" t="s">
        <v>72</v>
      </c>
      <c r="H40" s="36" t="s">
        <v>72</v>
      </c>
      <c r="K40" s="42" t="s">
        <v>18</v>
      </c>
      <c r="L40" s="43" t="s">
        <v>19</v>
      </c>
    </row>
    <row r="41" spans="1:12" ht="43.2">
      <c r="A41" s="81"/>
      <c r="B41" s="38" t="s">
        <v>73</v>
      </c>
      <c r="C41" s="135">
        <v>80</v>
      </c>
      <c r="D41" s="135"/>
      <c r="E41" s="135">
        <v>80</v>
      </c>
      <c r="F41" s="135"/>
      <c r="G41" s="39">
        <v>40</v>
      </c>
      <c r="H41" s="39">
        <v>40</v>
      </c>
      <c r="K41" s="42" t="s">
        <v>20</v>
      </c>
      <c r="L41" s="43" t="s">
        <v>65</v>
      </c>
    </row>
    <row r="42" spans="1:12">
      <c r="A42" s="81"/>
      <c r="B42" s="38" t="s">
        <v>42</v>
      </c>
      <c r="C42" s="135">
        <v>150</v>
      </c>
      <c r="D42" s="135"/>
      <c r="E42" s="135">
        <v>150</v>
      </c>
      <c r="F42" s="135"/>
      <c r="G42" s="39">
        <f>40+30+8</f>
        <v>78</v>
      </c>
      <c r="H42" s="39">
        <v>78</v>
      </c>
    </row>
    <row r="43" spans="1:12">
      <c r="A43" s="81"/>
      <c r="B43" s="38" t="s">
        <v>74</v>
      </c>
      <c r="C43" s="135">
        <v>15</v>
      </c>
      <c r="D43" s="135"/>
      <c r="E43" s="135">
        <v>15</v>
      </c>
      <c r="F43" s="135"/>
      <c r="G43" s="39">
        <f>4+3.75+35.56+1.48</f>
        <v>44.79</v>
      </c>
      <c r="H43" s="39">
        <v>44.79</v>
      </c>
    </row>
    <row r="44" spans="1:12">
      <c r="A44" s="81"/>
      <c r="B44" s="38" t="s">
        <v>75</v>
      </c>
      <c r="C44" s="135">
        <v>45</v>
      </c>
      <c r="D44" s="135"/>
      <c r="E44" s="135">
        <v>45</v>
      </c>
      <c r="F44" s="135"/>
      <c r="G44" s="40">
        <f>40+35</f>
        <v>75</v>
      </c>
      <c r="H44" s="40">
        <v>75</v>
      </c>
    </row>
    <row r="45" spans="1:12">
      <c r="A45" s="81"/>
      <c r="B45" s="38" t="s">
        <v>76</v>
      </c>
      <c r="C45" s="135">
        <v>15</v>
      </c>
      <c r="D45" s="135"/>
      <c r="E45" s="135">
        <v>15</v>
      </c>
      <c r="F45" s="135"/>
      <c r="G45" s="39"/>
      <c r="H45" s="39"/>
    </row>
    <row r="46" spans="1:12" ht="15" customHeight="1">
      <c r="A46" s="81"/>
      <c r="B46" s="38" t="s">
        <v>77</v>
      </c>
      <c r="C46" s="135" t="s">
        <v>78</v>
      </c>
      <c r="D46" s="135"/>
      <c r="E46" s="136">
        <v>188</v>
      </c>
      <c r="F46" s="136"/>
      <c r="G46" s="39">
        <v>40</v>
      </c>
      <c r="H46" s="39">
        <v>30</v>
      </c>
    </row>
    <row r="47" spans="1:12" ht="15" customHeight="1">
      <c r="A47" s="81"/>
      <c r="B47" s="38" t="s">
        <v>79</v>
      </c>
      <c r="C47" s="135">
        <v>350</v>
      </c>
      <c r="D47" s="135"/>
      <c r="E47" s="135" t="s">
        <v>80</v>
      </c>
      <c r="F47" s="135"/>
      <c r="G47" s="39">
        <f>85.6+24+5+63+12.5+3.25+12+2.5</f>
        <v>207.85</v>
      </c>
      <c r="H47" s="39">
        <f>67+20+50+10+2.5+10+2.5</f>
        <v>162</v>
      </c>
    </row>
    <row r="48" spans="1:12" ht="15" customHeight="1">
      <c r="A48" s="81"/>
      <c r="B48" s="38" t="s">
        <v>81</v>
      </c>
      <c r="C48" s="135">
        <v>200</v>
      </c>
      <c r="D48" s="135"/>
      <c r="E48" s="135" t="s">
        <v>82</v>
      </c>
      <c r="F48" s="135"/>
      <c r="G48" s="39">
        <f>35.7+100</f>
        <v>135.69999999999999</v>
      </c>
      <c r="H48" s="39">
        <v>135.69999999999999</v>
      </c>
    </row>
    <row r="49" spans="1:8" ht="26.4">
      <c r="A49" s="81"/>
      <c r="B49" s="38" t="s">
        <v>83</v>
      </c>
      <c r="C49" s="135">
        <v>15</v>
      </c>
      <c r="D49" s="135"/>
      <c r="E49" s="135">
        <v>15</v>
      </c>
      <c r="F49" s="135"/>
      <c r="G49" s="39"/>
      <c r="H49" s="39"/>
    </row>
    <row r="50" spans="1:8" ht="39.6">
      <c r="A50" s="81"/>
      <c r="B50" s="38" t="s">
        <v>84</v>
      </c>
      <c r="C50" s="135">
        <v>200</v>
      </c>
      <c r="D50" s="135"/>
      <c r="E50" s="135">
        <v>200</v>
      </c>
      <c r="F50" s="135"/>
      <c r="G50" s="39">
        <v>200</v>
      </c>
      <c r="H50" s="39">
        <v>200</v>
      </c>
    </row>
    <row r="51" spans="1:8" ht="25.5" customHeight="1">
      <c r="A51" s="81"/>
      <c r="B51" s="38" t="s">
        <v>85</v>
      </c>
      <c r="C51" s="135" t="s">
        <v>86</v>
      </c>
      <c r="D51" s="135"/>
      <c r="E51" s="135">
        <v>70</v>
      </c>
      <c r="F51" s="135"/>
      <c r="G51" s="39">
        <f>52+40</f>
        <v>92</v>
      </c>
      <c r="H51" s="39">
        <f>38+25</f>
        <v>63</v>
      </c>
    </row>
    <row r="52" spans="1:8" ht="25.5" customHeight="1">
      <c r="A52" s="81"/>
      <c r="B52" s="38" t="s">
        <v>87</v>
      </c>
      <c r="C52" s="135" t="s">
        <v>88</v>
      </c>
      <c r="D52" s="135"/>
      <c r="E52" s="135">
        <v>35</v>
      </c>
      <c r="F52" s="135"/>
      <c r="G52" s="39"/>
      <c r="H52" s="39"/>
    </row>
    <row r="53" spans="1:8">
      <c r="A53" s="81"/>
      <c r="B53" s="38" t="s">
        <v>89</v>
      </c>
      <c r="C53" s="135">
        <v>60</v>
      </c>
      <c r="D53" s="135"/>
      <c r="E53" s="135">
        <v>58</v>
      </c>
      <c r="F53" s="135"/>
      <c r="G53" s="39"/>
      <c r="H53" s="39"/>
    </row>
    <row r="54" spans="1:8">
      <c r="A54" s="81"/>
      <c r="B54" s="38" t="s">
        <v>90</v>
      </c>
      <c r="C54" s="135">
        <v>15</v>
      </c>
      <c r="D54" s="135"/>
      <c r="E54" s="135">
        <v>14.7</v>
      </c>
      <c r="F54" s="135"/>
      <c r="G54" s="39"/>
      <c r="H54" s="39"/>
    </row>
    <row r="55" spans="1:8" ht="26.4">
      <c r="A55" s="81"/>
      <c r="B55" s="38" t="s">
        <v>91</v>
      </c>
      <c r="C55" s="135">
        <v>300</v>
      </c>
      <c r="D55" s="135"/>
      <c r="E55" s="135">
        <v>300</v>
      </c>
      <c r="F55" s="135"/>
      <c r="G55" s="39">
        <f>100+211+100</f>
        <v>411</v>
      </c>
      <c r="H55" s="39">
        <f>400</f>
        <v>400</v>
      </c>
    </row>
    <row r="56" spans="1:8" ht="39.6">
      <c r="A56" s="81"/>
      <c r="B56" s="38" t="s">
        <v>92</v>
      </c>
      <c r="C56" s="135">
        <v>150</v>
      </c>
      <c r="D56" s="135"/>
      <c r="E56" s="135">
        <v>150</v>
      </c>
      <c r="F56" s="135"/>
      <c r="G56" s="39"/>
      <c r="H56" s="39"/>
    </row>
    <row r="57" spans="1:8" ht="26.4">
      <c r="A57" s="81"/>
      <c r="B57" s="38" t="s">
        <v>93</v>
      </c>
      <c r="C57" s="135">
        <v>50</v>
      </c>
      <c r="D57" s="135"/>
      <c r="E57" s="135">
        <v>50</v>
      </c>
      <c r="F57" s="135"/>
      <c r="G57" s="39"/>
      <c r="H57" s="39"/>
    </row>
    <row r="58" spans="1:8">
      <c r="A58" s="81"/>
      <c r="B58" s="38" t="s">
        <v>94</v>
      </c>
      <c r="C58" s="135">
        <v>10</v>
      </c>
      <c r="D58" s="135"/>
      <c r="E58" s="135">
        <v>9.8000000000000007</v>
      </c>
      <c r="F58" s="135"/>
      <c r="G58" s="39">
        <v>16</v>
      </c>
      <c r="H58" s="39">
        <v>15</v>
      </c>
    </row>
    <row r="59" spans="1:8" ht="26.4">
      <c r="A59" s="81"/>
      <c r="B59" s="38" t="s">
        <v>95</v>
      </c>
      <c r="C59" s="135">
        <v>10</v>
      </c>
      <c r="D59" s="135"/>
      <c r="E59" s="135">
        <v>10</v>
      </c>
      <c r="F59" s="135"/>
      <c r="G59" s="41">
        <v>12.5</v>
      </c>
      <c r="H59" s="41"/>
    </row>
    <row r="60" spans="1:8">
      <c r="A60" s="81"/>
      <c r="B60" s="38" t="s">
        <v>43</v>
      </c>
      <c r="C60" s="135">
        <v>30</v>
      </c>
      <c r="D60" s="135"/>
      <c r="E60" s="135">
        <v>30</v>
      </c>
      <c r="F60" s="135"/>
      <c r="G60" s="39">
        <f>10+10+1.1+1.5+1.3+5</f>
        <v>28.900000000000002</v>
      </c>
      <c r="H60" s="39">
        <v>28.9</v>
      </c>
    </row>
    <row r="61" spans="1:8">
      <c r="A61" s="81"/>
      <c r="B61" s="38" t="s">
        <v>96</v>
      </c>
      <c r="C61" s="135">
        <v>15</v>
      </c>
      <c r="D61" s="135"/>
      <c r="E61" s="135">
        <v>15</v>
      </c>
      <c r="F61" s="135"/>
      <c r="G61" s="39">
        <f>6+3+3+5</f>
        <v>17</v>
      </c>
      <c r="H61" s="39">
        <v>17</v>
      </c>
    </row>
    <row r="62" spans="1:8" ht="15" customHeight="1">
      <c r="A62" s="81"/>
      <c r="B62" s="38" t="s">
        <v>97</v>
      </c>
      <c r="C62" s="135" t="s">
        <v>98</v>
      </c>
      <c r="D62" s="135"/>
      <c r="E62" s="135">
        <v>40</v>
      </c>
      <c r="F62" s="135"/>
      <c r="G62" s="39"/>
      <c r="H62" s="39"/>
    </row>
    <row r="63" spans="1:8">
      <c r="A63" s="81"/>
      <c r="B63" s="38" t="s">
        <v>99</v>
      </c>
      <c r="C63" s="135">
        <v>40</v>
      </c>
      <c r="D63" s="135"/>
      <c r="E63" s="136">
        <v>40</v>
      </c>
      <c r="F63" s="136"/>
      <c r="G63" s="39">
        <f>20+6+3+3.7+1</f>
        <v>33.700000000000003</v>
      </c>
      <c r="H63" s="39">
        <v>33.700000000000003</v>
      </c>
    </row>
    <row r="64" spans="1:8">
      <c r="A64" s="81"/>
      <c r="B64" s="38" t="s">
        <v>100</v>
      </c>
      <c r="C64" s="136">
        <v>10</v>
      </c>
      <c r="D64" s="136"/>
      <c r="E64" s="135">
        <v>10</v>
      </c>
      <c r="F64" s="135"/>
      <c r="G64" s="39"/>
      <c r="H64" s="39"/>
    </row>
    <row r="65" spans="1:8">
      <c r="A65" s="81"/>
      <c r="B65" s="38" t="s">
        <v>101</v>
      </c>
      <c r="C65" s="135">
        <v>0.4</v>
      </c>
      <c r="D65" s="135"/>
      <c r="E65" s="135">
        <v>0.4</v>
      </c>
      <c r="F65" s="135"/>
      <c r="G65" s="39"/>
      <c r="H65" s="39"/>
    </row>
    <row r="66" spans="1:8">
      <c r="A66" s="81"/>
      <c r="B66" s="38" t="s">
        <v>102</v>
      </c>
      <c r="C66" s="135">
        <v>1.2</v>
      </c>
      <c r="D66" s="135"/>
      <c r="E66" s="135">
        <v>1.2</v>
      </c>
      <c r="F66" s="135"/>
      <c r="G66" s="39"/>
      <c r="H66" s="39"/>
    </row>
    <row r="67" spans="1:8">
      <c r="A67" s="81"/>
      <c r="B67" s="38" t="s">
        <v>103</v>
      </c>
      <c r="C67" s="135">
        <v>1</v>
      </c>
      <c r="D67" s="135"/>
      <c r="E67" s="135">
        <v>1</v>
      </c>
      <c r="F67" s="135"/>
      <c r="G67" s="39">
        <v>0.56000000000000005</v>
      </c>
      <c r="H67" s="39">
        <v>0.56000000000000005</v>
      </c>
    </row>
    <row r="68" spans="1:8">
      <c r="A68" s="81"/>
      <c r="B68" s="38" t="s">
        <v>104</v>
      </c>
      <c r="C68" s="135">
        <v>5</v>
      </c>
      <c r="D68" s="135"/>
      <c r="E68" s="135">
        <v>5</v>
      </c>
      <c r="F68" s="135"/>
      <c r="G68" s="39">
        <v>3.56</v>
      </c>
      <c r="H68" s="39">
        <v>3.56</v>
      </c>
    </row>
    <row r="69" spans="1:8">
      <c r="A69" s="81"/>
      <c r="B69" s="81"/>
      <c r="C69" s="81"/>
      <c r="D69" s="81"/>
      <c r="E69" s="81"/>
      <c r="F69" s="81"/>
      <c r="G69" s="81"/>
      <c r="H69" s="81"/>
    </row>
    <row r="70" spans="1:8">
      <c r="A70" s="81"/>
      <c r="B70" s="81"/>
      <c r="C70" s="81"/>
      <c r="D70" s="81"/>
      <c r="E70" s="81"/>
      <c r="F70" s="81"/>
      <c r="G70" s="81"/>
      <c r="H70" s="81"/>
    </row>
  </sheetData>
  <mergeCells count="80">
    <mergeCell ref="H5:K5"/>
    <mergeCell ref="L5:O5"/>
    <mergeCell ref="A7:O7"/>
    <mergeCell ref="A9:A12"/>
    <mergeCell ref="D10:O12"/>
    <mergeCell ref="A5:A6"/>
    <mergeCell ref="B5:B6"/>
    <mergeCell ref="C5:C6"/>
    <mergeCell ref="D5:F5"/>
    <mergeCell ref="G5:G6"/>
    <mergeCell ref="A16:O16"/>
    <mergeCell ref="A25:O25"/>
    <mergeCell ref="B32:E33"/>
    <mergeCell ref="F32:H32"/>
    <mergeCell ref="B34:E34"/>
    <mergeCell ref="B35:E35"/>
    <mergeCell ref="B37:H37"/>
    <mergeCell ref="C38:F38"/>
    <mergeCell ref="G38:H38"/>
    <mergeCell ref="B39:B40"/>
    <mergeCell ref="C39:D39"/>
    <mergeCell ref="E39:F39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C53:D53"/>
    <mergeCell ref="E53:F53"/>
    <mergeCell ref="C54:D54"/>
    <mergeCell ref="E54:F54"/>
    <mergeCell ref="C55:D55"/>
    <mergeCell ref="E55:F55"/>
    <mergeCell ref="C56:D56"/>
    <mergeCell ref="E56:F56"/>
    <mergeCell ref="C57:D57"/>
    <mergeCell ref="E57:F57"/>
    <mergeCell ref="C58:D58"/>
    <mergeCell ref="E58:F58"/>
    <mergeCell ref="C59:D59"/>
    <mergeCell ref="E59:F59"/>
    <mergeCell ref="C60:D60"/>
    <mergeCell ref="E60:F60"/>
    <mergeCell ref="C61:D61"/>
    <mergeCell ref="E61:F61"/>
    <mergeCell ref="C62:D62"/>
    <mergeCell ref="E62:F62"/>
    <mergeCell ref="C63:D63"/>
    <mergeCell ref="E63:F63"/>
    <mergeCell ref="C64:D64"/>
    <mergeCell ref="E64:F64"/>
    <mergeCell ref="C68:D68"/>
    <mergeCell ref="E68:F68"/>
    <mergeCell ref="C65:D65"/>
    <mergeCell ref="E65:F65"/>
    <mergeCell ref="C66:D66"/>
    <mergeCell ref="E66:F66"/>
    <mergeCell ref="C67:D67"/>
    <mergeCell ref="E67:F67"/>
  </mergeCells>
  <pageMargins left="0.70833333333333304" right="0.70833333333333304" top="0.74791666666666701" bottom="0.74791666666666701" header="0.51180555555555496" footer="0.51180555555555496"/>
  <pageSetup paperSize="9" scale="76" firstPageNumber="0" orientation="landscape" horizontalDpi="300" verticalDpi="300" r:id="rId1"/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S88"/>
  <sheetViews>
    <sheetView view="pageBreakPreview" topLeftCell="A7" zoomScale="90" zoomScaleNormal="90" zoomScalePageLayoutView="90" workbookViewId="0">
      <selection activeCell="B21" sqref="B21"/>
    </sheetView>
  </sheetViews>
  <sheetFormatPr defaultColWidth="8.6640625" defaultRowHeight="14.4"/>
  <cols>
    <col min="1" max="1" width="12.6640625" customWidth="1"/>
    <col min="2" max="2" width="24.5546875" customWidth="1"/>
    <col min="7" max="7" width="12.6640625" customWidth="1"/>
    <col min="10" max="10" width="10.109375" customWidth="1"/>
    <col min="12" max="12" width="8.88671875" bestFit="1" customWidth="1"/>
    <col min="13" max="14" width="8.88671875" customWidth="1"/>
  </cols>
  <sheetData>
    <row r="1" spans="1:19" ht="15.6">
      <c r="A1" s="42" t="s">
        <v>14</v>
      </c>
      <c r="B1" s="43" t="s">
        <v>134</v>
      </c>
    </row>
    <row r="2" spans="1:19" ht="15.6">
      <c r="A2" s="42" t="s">
        <v>16</v>
      </c>
      <c r="B2" s="43" t="s">
        <v>17</v>
      </c>
    </row>
    <row r="3" spans="1:19" ht="15.6">
      <c r="A3" s="42" t="s">
        <v>18</v>
      </c>
      <c r="B3" s="43" t="s">
        <v>19</v>
      </c>
    </row>
    <row r="4" spans="1:19" ht="31.2">
      <c r="A4" s="42" t="s">
        <v>20</v>
      </c>
      <c r="B4" s="130" t="s">
        <v>159</v>
      </c>
    </row>
    <row r="5" spans="1:19" ht="15.75" customHeight="1">
      <c r="A5" s="150" t="s">
        <v>21</v>
      </c>
      <c r="B5" s="150" t="s">
        <v>22</v>
      </c>
      <c r="C5" s="150" t="s">
        <v>23</v>
      </c>
      <c r="D5" s="150" t="s">
        <v>24</v>
      </c>
      <c r="E5" s="150"/>
      <c r="F5" s="150"/>
      <c r="G5" s="150" t="s">
        <v>25</v>
      </c>
      <c r="H5" s="150" t="s">
        <v>26</v>
      </c>
      <c r="I5" s="150"/>
      <c r="J5" s="150"/>
      <c r="K5" s="150"/>
      <c r="L5" s="150" t="s">
        <v>27</v>
      </c>
      <c r="M5" s="150"/>
      <c r="N5" s="150"/>
      <c r="O5" s="150"/>
    </row>
    <row r="6" spans="1:19" ht="15.6">
      <c r="A6" s="150"/>
      <c r="B6" s="150"/>
      <c r="C6" s="150"/>
      <c r="D6" s="44" t="s">
        <v>28</v>
      </c>
      <c r="E6" s="44" t="s">
        <v>29</v>
      </c>
      <c r="F6" s="44" t="s">
        <v>30</v>
      </c>
      <c r="G6" s="150"/>
      <c r="H6" s="44" t="s">
        <v>117</v>
      </c>
      <c r="I6" s="44" t="s">
        <v>32</v>
      </c>
      <c r="J6" s="44" t="s">
        <v>33</v>
      </c>
      <c r="K6" s="44" t="s">
        <v>34</v>
      </c>
      <c r="L6" s="44" t="s">
        <v>35</v>
      </c>
      <c r="M6" s="44" t="s">
        <v>36</v>
      </c>
      <c r="N6" s="44" t="s">
        <v>37</v>
      </c>
      <c r="O6" s="44" t="s">
        <v>38</v>
      </c>
    </row>
    <row r="7" spans="1:19" ht="18.75" customHeight="1">
      <c r="A7" s="156" t="s">
        <v>39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</row>
    <row r="8" spans="1:19" s="46" customFormat="1" ht="13.8">
      <c r="A8" s="12"/>
      <c r="B8" s="13"/>
      <c r="C8" s="12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9" ht="27.6">
      <c r="A9" s="12">
        <v>302</v>
      </c>
      <c r="B9" s="60" t="s">
        <v>135</v>
      </c>
      <c r="C9" s="12">
        <v>250</v>
      </c>
      <c r="D9" s="14">
        <v>14</v>
      </c>
      <c r="E9" s="14">
        <v>8.6999999999999993</v>
      </c>
      <c r="F9" s="14">
        <v>57.9</v>
      </c>
      <c r="G9" s="14">
        <v>372</v>
      </c>
      <c r="H9" s="14">
        <v>0.05</v>
      </c>
      <c r="I9" s="14"/>
      <c r="J9" s="14"/>
      <c r="K9" s="14">
        <v>1.71</v>
      </c>
      <c r="L9" s="14">
        <v>21.57</v>
      </c>
      <c r="M9" s="14"/>
      <c r="N9" s="14">
        <v>204.08</v>
      </c>
      <c r="O9" s="14">
        <v>6.99</v>
      </c>
    </row>
    <row r="10" spans="1:19">
      <c r="A10" s="12">
        <v>413</v>
      </c>
      <c r="B10" s="60" t="s">
        <v>136</v>
      </c>
      <c r="C10" s="12">
        <v>50</v>
      </c>
      <c r="D10" s="14">
        <v>5.33</v>
      </c>
      <c r="E10" s="14">
        <v>11.47</v>
      </c>
      <c r="F10" s="14">
        <v>0.77</v>
      </c>
      <c r="G10" s="14">
        <v>127.68</v>
      </c>
      <c r="H10" s="14"/>
      <c r="I10" s="14"/>
      <c r="J10" s="14"/>
      <c r="K10" s="14"/>
      <c r="L10" s="14">
        <v>6.5</v>
      </c>
      <c r="M10" s="14"/>
      <c r="N10" s="14"/>
      <c r="O10" s="14">
        <v>0.36</v>
      </c>
    </row>
    <row r="11" spans="1:19" s="1" customFormat="1">
      <c r="A11" s="145">
        <v>701</v>
      </c>
      <c r="B11" s="13" t="s">
        <v>119</v>
      </c>
      <c r="C11" s="47">
        <v>50</v>
      </c>
      <c r="D11" s="48">
        <v>3.8</v>
      </c>
      <c r="E11" s="48">
        <v>0.45</v>
      </c>
      <c r="F11" s="48">
        <v>23.35</v>
      </c>
      <c r="G11" s="48">
        <v>106.8</v>
      </c>
      <c r="H11" s="48">
        <v>0.05</v>
      </c>
      <c r="I11" s="48"/>
      <c r="J11" s="48"/>
      <c r="K11" s="48"/>
      <c r="L11" s="48">
        <v>9.3000000000000007</v>
      </c>
      <c r="M11" s="48"/>
      <c r="N11" s="48"/>
      <c r="O11" s="48">
        <v>0.62</v>
      </c>
      <c r="P11" s="49"/>
      <c r="Q11" s="49"/>
      <c r="R11" s="49"/>
      <c r="S11" s="49"/>
    </row>
    <row r="12" spans="1:19" s="46" customFormat="1" ht="13.8">
      <c r="A12" s="145"/>
      <c r="B12" s="15" t="s">
        <v>109</v>
      </c>
      <c r="C12" s="48">
        <v>50</v>
      </c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50"/>
      <c r="Q12" s="50"/>
      <c r="R12" s="51"/>
      <c r="S12" s="51"/>
    </row>
    <row r="13" spans="1:19" s="8" customFormat="1" ht="13.8">
      <c r="A13" s="145"/>
      <c r="B13" s="52"/>
      <c r="C13" s="48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50"/>
      <c r="Q13" s="50"/>
      <c r="R13" s="53"/>
      <c r="S13" s="53"/>
    </row>
    <row r="14" spans="1:19" ht="41.4">
      <c r="A14" s="12">
        <v>648</v>
      </c>
      <c r="B14" s="13" t="s">
        <v>137</v>
      </c>
      <c r="C14" s="12">
        <v>200</v>
      </c>
      <c r="D14" s="14">
        <v>0.1</v>
      </c>
      <c r="E14" s="14">
        <v>0</v>
      </c>
      <c r="F14" s="14">
        <v>31.46</v>
      </c>
      <c r="G14" s="14">
        <v>118.52</v>
      </c>
      <c r="H14" s="14"/>
      <c r="I14" s="14"/>
      <c r="J14" s="14"/>
      <c r="K14" s="14"/>
      <c r="L14" s="14">
        <v>0.2</v>
      </c>
      <c r="M14" s="14"/>
      <c r="N14" s="14"/>
      <c r="O14" s="89">
        <v>3.0000000000000001E-3</v>
      </c>
    </row>
    <row r="15" spans="1:19">
      <c r="A15" s="17" t="s">
        <v>46</v>
      </c>
      <c r="B15" s="18"/>
      <c r="C15" s="18">
        <v>550</v>
      </c>
      <c r="D15" s="74">
        <f>SUM(D8:D14)</f>
        <v>23.23</v>
      </c>
      <c r="E15" s="74">
        <f>SUM(E8:E14)</f>
        <v>20.62</v>
      </c>
      <c r="F15" s="74">
        <f>SUM(F8:F14)</f>
        <v>113.48000000000002</v>
      </c>
      <c r="G15" s="74">
        <f>SUM(G8:G14)</f>
        <v>725</v>
      </c>
      <c r="H15" s="74">
        <v>0.1</v>
      </c>
      <c r="I15" s="74"/>
      <c r="J15" s="74"/>
      <c r="K15" s="74">
        <v>1.71</v>
      </c>
      <c r="L15" s="74">
        <v>37.57</v>
      </c>
      <c r="M15" s="74"/>
      <c r="N15" s="74">
        <v>204.08</v>
      </c>
      <c r="O15" s="74">
        <v>7.9729999999999999</v>
      </c>
    </row>
    <row r="16" spans="1:19" ht="18">
      <c r="B16" s="90"/>
      <c r="C16" s="90"/>
      <c r="D16" s="90"/>
      <c r="E16" s="90"/>
      <c r="F16" s="90"/>
      <c r="G16" s="91" t="s">
        <v>47</v>
      </c>
      <c r="H16" s="90"/>
      <c r="I16" s="90"/>
      <c r="J16" s="90"/>
      <c r="K16" s="90"/>
      <c r="L16" s="90"/>
      <c r="M16" s="90"/>
      <c r="N16" s="90"/>
      <c r="O16" s="92"/>
    </row>
    <row r="17" spans="1:15">
      <c r="A17" s="12"/>
      <c r="B17" s="13"/>
      <c r="C17" s="1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s="8" customFormat="1" ht="27.6">
      <c r="A18" s="12">
        <v>101</v>
      </c>
      <c r="B18" s="13" t="s">
        <v>138</v>
      </c>
      <c r="C18" s="12">
        <v>250</v>
      </c>
      <c r="D18" s="14">
        <v>9.8800000000000008</v>
      </c>
      <c r="E18" s="14">
        <v>7.25</v>
      </c>
      <c r="F18" s="14">
        <v>24.05</v>
      </c>
      <c r="G18" s="14">
        <v>201.75</v>
      </c>
      <c r="H18" s="14"/>
      <c r="I18" s="14">
        <v>5.83</v>
      </c>
      <c r="J18" s="14"/>
      <c r="K18" s="14"/>
      <c r="L18" s="14">
        <f>(10/1000*175)+41.48</f>
        <v>43.23</v>
      </c>
      <c r="M18" s="14"/>
      <c r="N18" s="14">
        <v>38.25</v>
      </c>
      <c r="O18" s="14">
        <v>1.83</v>
      </c>
    </row>
    <row r="19" spans="1:15" ht="55.2">
      <c r="A19" s="12">
        <v>17</v>
      </c>
      <c r="B19" s="13" t="s">
        <v>122</v>
      </c>
      <c r="C19" s="12">
        <v>160</v>
      </c>
      <c r="D19" s="14">
        <v>27.84</v>
      </c>
      <c r="E19" s="14">
        <v>20.16</v>
      </c>
      <c r="F19" s="14">
        <v>1.6</v>
      </c>
      <c r="G19" s="14">
        <v>473.6</v>
      </c>
      <c r="H19" s="14"/>
      <c r="I19" s="14"/>
      <c r="J19" s="14"/>
      <c r="K19" s="14"/>
      <c r="L19" s="14">
        <v>144.6</v>
      </c>
      <c r="M19" s="14"/>
      <c r="N19" s="14">
        <v>20.8</v>
      </c>
      <c r="O19" s="14">
        <v>1.6</v>
      </c>
    </row>
    <row r="20" spans="1:15">
      <c r="A20" s="12">
        <v>139</v>
      </c>
      <c r="B20" s="13" t="s">
        <v>123</v>
      </c>
      <c r="C20" s="12">
        <v>200</v>
      </c>
      <c r="D20" s="14">
        <v>2.04</v>
      </c>
      <c r="E20" s="14">
        <v>3.68</v>
      </c>
      <c r="F20" s="14">
        <v>7.89</v>
      </c>
      <c r="G20" s="14">
        <v>77</v>
      </c>
      <c r="H20" s="14"/>
      <c r="I20" s="14">
        <v>17.079999999999998</v>
      </c>
      <c r="J20" s="14"/>
      <c r="K20" s="14"/>
      <c r="L20" s="14">
        <v>58.75</v>
      </c>
      <c r="M20" s="14"/>
      <c r="N20" s="14">
        <v>40.69</v>
      </c>
      <c r="O20" s="14">
        <v>46.67</v>
      </c>
    </row>
    <row r="21" spans="1:15">
      <c r="A21" s="73">
        <v>376</v>
      </c>
      <c r="B21" s="13" t="s">
        <v>172</v>
      </c>
      <c r="C21" s="131" t="s">
        <v>164</v>
      </c>
      <c r="D21" s="14">
        <v>7.0000000000000007E-2</v>
      </c>
      <c r="E21" s="14">
        <v>0.02</v>
      </c>
      <c r="F21" s="14">
        <v>15</v>
      </c>
      <c r="G21" s="14">
        <v>60</v>
      </c>
      <c r="H21" s="14">
        <f>0.01/5</f>
        <v>2E-3</v>
      </c>
      <c r="I21" s="14">
        <v>0.03</v>
      </c>
      <c r="J21" s="14">
        <f>0</f>
        <v>0</v>
      </c>
      <c r="K21" s="14">
        <f>0</f>
        <v>0</v>
      </c>
      <c r="L21" s="14">
        <v>11.1</v>
      </c>
      <c r="M21" s="14"/>
      <c r="N21" s="14">
        <v>1.4</v>
      </c>
      <c r="O21" s="14">
        <v>0.28000000000000003</v>
      </c>
    </row>
    <row r="22" spans="1:15">
      <c r="A22" s="15">
        <v>701</v>
      </c>
      <c r="B22" s="13" t="s">
        <v>52</v>
      </c>
      <c r="C22" s="12">
        <v>40</v>
      </c>
      <c r="D22" s="14">
        <v>3.8</v>
      </c>
      <c r="E22" s="14">
        <v>0.45</v>
      </c>
      <c r="F22" s="14">
        <v>23.35</v>
      </c>
      <c r="G22" s="14">
        <v>114.6</v>
      </c>
      <c r="H22" s="14">
        <v>0.05</v>
      </c>
      <c r="I22" s="14"/>
      <c r="J22" s="14"/>
      <c r="K22" s="14"/>
      <c r="L22" s="14">
        <v>9.3000000000000007</v>
      </c>
      <c r="M22" s="14"/>
      <c r="N22" s="14"/>
      <c r="O22" s="14">
        <v>0.62</v>
      </c>
    </row>
    <row r="23" spans="1:15">
      <c r="A23" s="15">
        <v>701</v>
      </c>
      <c r="B23" s="13" t="s">
        <v>42</v>
      </c>
      <c r="C23" s="12">
        <v>40</v>
      </c>
      <c r="D23" s="14">
        <v>3.04</v>
      </c>
      <c r="E23" s="14">
        <v>0.36</v>
      </c>
      <c r="F23" s="14">
        <v>18.68</v>
      </c>
      <c r="G23" s="14">
        <v>85.44</v>
      </c>
      <c r="H23" s="14">
        <v>0.05</v>
      </c>
      <c r="I23" s="14"/>
      <c r="J23" s="14"/>
      <c r="K23" s="14"/>
      <c r="L23" s="14">
        <v>9.3000000000000007</v>
      </c>
      <c r="M23" s="14"/>
      <c r="N23" s="14"/>
      <c r="O23" s="14">
        <v>0.62</v>
      </c>
    </row>
    <row r="24" spans="1:15">
      <c r="A24" s="17" t="s">
        <v>46</v>
      </c>
      <c r="B24" s="18"/>
      <c r="C24" s="18">
        <v>905</v>
      </c>
      <c r="D24" s="74">
        <v>46.67</v>
      </c>
      <c r="E24" s="74">
        <v>31.92</v>
      </c>
      <c r="F24" s="74">
        <f>SUM(F17:F23)</f>
        <v>90.57</v>
      </c>
      <c r="G24" s="74">
        <f>SUM(G17:G23)</f>
        <v>1012.3900000000001</v>
      </c>
      <c r="H24" s="74">
        <v>0.1</v>
      </c>
      <c r="I24" s="74">
        <v>22.94</v>
      </c>
      <c r="J24" s="74"/>
      <c r="K24" s="74"/>
      <c r="L24" s="74">
        <v>276.27999999999997</v>
      </c>
      <c r="M24" s="74"/>
      <c r="N24" s="74">
        <v>101.14</v>
      </c>
      <c r="O24" s="74">
        <v>51.62</v>
      </c>
    </row>
    <row r="25" spans="1:15" ht="18">
      <c r="B25" s="93"/>
      <c r="C25" s="93"/>
      <c r="D25" s="93"/>
      <c r="E25" s="93"/>
      <c r="F25" s="93"/>
      <c r="G25" s="91"/>
      <c r="H25" s="93"/>
      <c r="I25" s="93"/>
      <c r="J25" s="93"/>
      <c r="K25" s="93"/>
      <c r="L25" s="93"/>
      <c r="M25" s="93"/>
      <c r="N25" s="93"/>
      <c r="O25" s="94"/>
    </row>
    <row r="26" spans="1:15" s="26" customFormat="1" ht="13.8">
      <c r="A26" s="22"/>
      <c r="B26" s="23"/>
      <c r="C26" s="22"/>
      <c r="D26" s="24"/>
      <c r="E26" s="25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>
      <c r="A27" s="12"/>
      <c r="B27" s="13"/>
      <c r="C27" s="12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>
      <c r="A28" s="12"/>
      <c r="B28" s="13"/>
      <c r="C28" s="1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>
      <c r="A29" s="17" t="s">
        <v>46</v>
      </c>
      <c r="B29" s="18"/>
      <c r="C29" s="18"/>
      <c r="D29" s="95">
        <f>SUM(D26:D28)</f>
        <v>0</v>
      </c>
      <c r="E29" s="95">
        <f>SUM(E26:E28)</f>
        <v>0</v>
      </c>
      <c r="F29" s="95">
        <f>SUM(F26:F28)</f>
        <v>0</v>
      </c>
      <c r="G29" s="95">
        <f>SUM(G26:G28)</f>
        <v>0</v>
      </c>
      <c r="H29" s="74"/>
      <c r="I29" s="74"/>
      <c r="J29" s="74"/>
      <c r="K29" s="74"/>
      <c r="L29" s="74"/>
      <c r="M29" s="74"/>
      <c r="N29" s="74"/>
      <c r="O29" s="74"/>
    </row>
    <row r="30" spans="1:15" ht="15" customHeight="1">
      <c r="A30" s="17" t="s">
        <v>55</v>
      </c>
      <c r="B30" s="18"/>
      <c r="C30" s="18">
        <v>1455</v>
      </c>
      <c r="D30" s="88">
        <f>SUM(D8:D14)+SUM(D17:D23)+SUM(D26:D28)</f>
        <v>69.899999999999991</v>
      </c>
      <c r="E30" s="88">
        <f>SUM(E8:E14)+SUM(E17:E23)+SUM(E26:E28)</f>
        <v>52.54</v>
      </c>
      <c r="F30" s="88">
        <f>SUM(F8:F14)+SUM(F17:F23)+SUM(F26:F28)</f>
        <v>204.05</v>
      </c>
      <c r="G30" s="88">
        <f>SUM(G8:G14)+SUM(G17:G23)+SUM(G26:G28)</f>
        <v>1737.39</v>
      </c>
      <c r="H30" s="79">
        <v>0.2</v>
      </c>
      <c r="I30" s="79">
        <v>22.94</v>
      </c>
      <c r="J30" s="79"/>
      <c r="K30" s="79">
        <v>1.71</v>
      </c>
      <c r="L30" s="79">
        <v>313.85000000000002</v>
      </c>
      <c r="M30" s="79"/>
      <c r="N30" s="79">
        <v>305.22000000000003</v>
      </c>
      <c r="O30" s="79">
        <v>59.59</v>
      </c>
    </row>
    <row r="32" spans="1:15" ht="39" customHeight="1">
      <c r="A32" s="81"/>
      <c r="B32" s="81"/>
      <c r="C32" s="137" t="s">
        <v>56</v>
      </c>
      <c r="D32" s="137"/>
      <c r="E32" s="137"/>
      <c r="F32" s="137"/>
      <c r="G32" s="142" t="s">
        <v>57</v>
      </c>
      <c r="H32" s="142"/>
      <c r="I32" s="142"/>
      <c r="J32" s="31" t="s">
        <v>58</v>
      </c>
      <c r="K32" s="81"/>
      <c r="L32" s="81"/>
      <c r="M32" s="81"/>
      <c r="N32" s="81"/>
      <c r="O32" s="81"/>
    </row>
    <row r="33" spans="1:15">
      <c r="A33" s="82"/>
      <c r="B33" s="96"/>
      <c r="C33" s="137"/>
      <c r="D33" s="137"/>
      <c r="E33" s="137"/>
      <c r="F33" s="137"/>
      <c r="G33" s="30" t="s">
        <v>28</v>
      </c>
      <c r="H33" s="30" t="s">
        <v>29</v>
      </c>
      <c r="I33" s="30" t="s">
        <v>30</v>
      </c>
      <c r="J33" s="32"/>
      <c r="K33" s="83"/>
      <c r="L33" s="83"/>
      <c r="M33" s="83"/>
      <c r="N33" s="83"/>
      <c r="O33" s="83"/>
    </row>
    <row r="34" spans="1:15" ht="15.75" customHeight="1">
      <c r="A34" s="81"/>
      <c r="B34" s="81"/>
      <c r="C34" s="137" t="s">
        <v>59</v>
      </c>
      <c r="D34" s="137"/>
      <c r="E34" s="137"/>
      <c r="F34" s="137"/>
      <c r="G34" s="30" t="s">
        <v>60</v>
      </c>
      <c r="H34" s="30" t="s">
        <v>61</v>
      </c>
      <c r="I34" s="30" t="s">
        <v>62</v>
      </c>
      <c r="J34" s="30" t="s">
        <v>63</v>
      </c>
      <c r="K34" s="81"/>
      <c r="L34" s="81"/>
      <c r="M34" s="81"/>
      <c r="N34" s="81"/>
      <c r="O34" s="81"/>
    </row>
    <row r="35" spans="1:15" ht="15.75" customHeight="1">
      <c r="A35" s="81"/>
      <c r="B35" s="81"/>
      <c r="C35" s="137" t="s">
        <v>64</v>
      </c>
      <c r="D35" s="137"/>
      <c r="E35" s="137"/>
      <c r="F35" s="137"/>
      <c r="G35" s="33">
        <f>D30</f>
        <v>69.899999999999991</v>
      </c>
      <c r="H35" s="33">
        <f>E30</f>
        <v>52.54</v>
      </c>
      <c r="I35" s="33">
        <f>F30</f>
        <v>204.05</v>
      </c>
      <c r="J35" s="33">
        <f>G30</f>
        <v>1737.39</v>
      </c>
      <c r="K35" s="81"/>
      <c r="L35" s="81"/>
      <c r="M35" s="81"/>
      <c r="N35" s="81"/>
      <c r="O35" s="81"/>
    </row>
    <row r="36" spans="1:15">
      <c r="K36" s="81"/>
      <c r="L36" s="81"/>
      <c r="M36" s="81"/>
      <c r="N36" s="81"/>
      <c r="O36" s="81"/>
    </row>
    <row r="37" spans="1:15" ht="47.25" customHeight="1">
      <c r="B37" s="138" t="s">
        <v>66</v>
      </c>
      <c r="C37" s="138"/>
      <c r="D37" s="138"/>
      <c r="E37" s="138"/>
      <c r="F37" s="138"/>
      <c r="G37" s="138"/>
      <c r="H37" s="138"/>
    </row>
    <row r="38" spans="1:15" ht="27" customHeight="1">
      <c r="B38" s="36" t="s">
        <v>67</v>
      </c>
      <c r="C38" s="139" t="s">
        <v>68</v>
      </c>
      <c r="D38" s="139"/>
      <c r="E38" s="139"/>
      <c r="F38" s="139"/>
      <c r="G38" s="140" t="s">
        <v>69</v>
      </c>
      <c r="H38" s="140"/>
      <c r="K38" s="42" t="s">
        <v>14</v>
      </c>
      <c r="L38" s="43" t="s">
        <v>134</v>
      </c>
    </row>
    <row r="39" spans="1:15" ht="31.5" customHeight="1">
      <c r="B39" s="139"/>
      <c r="C39" s="139" t="s">
        <v>70</v>
      </c>
      <c r="D39" s="139"/>
      <c r="E39" s="139" t="s">
        <v>71</v>
      </c>
      <c r="F39" s="139"/>
      <c r="G39" s="36" t="s">
        <v>70</v>
      </c>
      <c r="H39" s="36" t="s">
        <v>71</v>
      </c>
      <c r="K39" s="42" t="s">
        <v>16</v>
      </c>
      <c r="L39" s="43" t="s">
        <v>17</v>
      </c>
    </row>
    <row r="40" spans="1:15" ht="30" customHeight="1">
      <c r="B40" s="139"/>
      <c r="C40" s="139" t="s">
        <v>72</v>
      </c>
      <c r="D40" s="139"/>
      <c r="E40" s="139" t="s">
        <v>72</v>
      </c>
      <c r="F40" s="139"/>
      <c r="G40" s="36" t="s">
        <v>72</v>
      </c>
      <c r="H40" s="36" t="s">
        <v>72</v>
      </c>
      <c r="K40" s="42" t="s">
        <v>18</v>
      </c>
      <c r="L40" s="43" t="s">
        <v>19</v>
      </c>
    </row>
    <row r="41" spans="1:15" ht="62.4">
      <c r="B41" s="38" t="s">
        <v>73</v>
      </c>
      <c r="C41" s="135">
        <v>80</v>
      </c>
      <c r="D41" s="135"/>
      <c r="E41" s="135">
        <v>80</v>
      </c>
      <c r="F41" s="135"/>
      <c r="G41" s="39">
        <v>40</v>
      </c>
      <c r="H41" s="39">
        <v>40</v>
      </c>
      <c r="K41" s="42" t="s">
        <v>20</v>
      </c>
      <c r="L41" s="43" t="s">
        <v>139</v>
      </c>
    </row>
    <row r="42" spans="1:15">
      <c r="B42" s="38" t="s">
        <v>42</v>
      </c>
      <c r="C42" s="135">
        <v>150</v>
      </c>
      <c r="D42" s="135"/>
      <c r="E42" s="135">
        <v>150</v>
      </c>
      <c r="F42" s="135"/>
      <c r="G42" s="39">
        <f>50+40</f>
        <v>90</v>
      </c>
      <c r="H42" s="39">
        <v>90</v>
      </c>
    </row>
    <row r="43" spans="1:15">
      <c r="B43" s="38" t="s">
        <v>74</v>
      </c>
      <c r="C43" s="135">
        <v>15</v>
      </c>
      <c r="D43" s="135"/>
      <c r="E43" s="135">
        <v>15</v>
      </c>
      <c r="F43" s="135"/>
      <c r="G43" s="39">
        <f>3+3.75+2.8</f>
        <v>9.5500000000000007</v>
      </c>
      <c r="H43" s="39">
        <f>9.55</f>
        <v>9.5500000000000007</v>
      </c>
    </row>
    <row r="44" spans="1:15">
      <c r="B44" s="38" t="s">
        <v>75</v>
      </c>
      <c r="C44" s="135">
        <v>45</v>
      </c>
      <c r="D44" s="135"/>
      <c r="E44" s="135">
        <v>45</v>
      </c>
      <c r="F44" s="135"/>
      <c r="G44" s="40">
        <f>21+31</f>
        <v>52</v>
      </c>
      <c r="H44" s="40">
        <v>52</v>
      </c>
    </row>
    <row r="45" spans="1:15">
      <c r="B45" s="38" t="s">
        <v>76</v>
      </c>
      <c r="C45" s="135">
        <v>15</v>
      </c>
      <c r="D45" s="135"/>
      <c r="E45" s="135">
        <v>15</v>
      </c>
      <c r="F45" s="135"/>
      <c r="G45" s="39"/>
      <c r="H45" s="39"/>
    </row>
    <row r="46" spans="1:15" ht="15" customHeight="1">
      <c r="B46" s="38" t="s">
        <v>77</v>
      </c>
      <c r="C46" s="135" t="s">
        <v>78</v>
      </c>
      <c r="D46" s="135"/>
      <c r="E46" s="136">
        <v>188</v>
      </c>
      <c r="F46" s="136"/>
      <c r="G46" s="39">
        <f>67+171</f>
        <v>238</v>
      </c>
      <c r="H46" s="39">
        <f>50+129</f>
        <v>179</v>
      </c>
    </row>
    <row r="47" spans="1:15" ht="15" customHeight="1">
      <c r="B47" s="38" t="s">
        <v>79</v>
      </c>
      <c r="C47" s="135">
        <v>350</v>
      </c>
      <c r="D47" s="135"/>
      <c r="E47" s="135" t="s">
        <v>80</v>
      </c>
      <c r="F47" s="135"/>
      <c r="G47" s="39">
        <f>12+12.5+3.25+98.6+12.5</f>
        <v>138.85</v>
      </c>
      <c r="H47" s="39">
        <f>10+10+2.5+78.9+10</f>
        <v>111.4</v>
      </c>
    </row>
    <row r="48" spans="1:15" ht="15" customHeight="1">
      <c r="B48" s="38" t="s">
        <v>81</v>
      </c>
      <c r="C48" s="135">
        <v>200</v>
      </c>
      <c r="D48" s="135"/>
      <c r="E48" s="135" t="s">
        <v>82</v>
      </c>
      <c r="F48" s="135"/>
      <c r="G48" s="39">
        <v>134</v>
      </c>
      <c r="H48" s="39">
        <v>130</v>
      </c>
    </row>
    <row r="49" spans="2:8" ht="26.4">
      <c r="B49" s="38" t="s">
        <v>83</v>
      </c>
      <c r="C49" s="135">
        <v>15</v>
      </c>
      <c r="D49" s="135"/>
      <c r="E49" s="135">
        <v>15</v>
      </c>
      <c r="F49" s="135"/>
      <c r="G49" s="39"/>
      <c r="H49" s="39"/>
    </row>
    <row r="50" spans="2:8" ht="55.5" customHeight="1">
      <c r="B50" s="38" t="s">
        <v>84</v>
      </c>
      <c r="C50" s="135">
        <v>200</v>
      </c>
      <c r="D50" s="135"/>
      <c r="E50" s="135">
        <v>200</v>
      </c>
      <c r="F50" s="135"/>
      <c r="G50" s="39"/>
      <c r="H50" s="39"/>
    </row>
    <row r="51" spans="2:8" ht="25.5" customHeight="1">
      <c r="B51" s="38" t="s">
        <v>85</v>
      </c>
      <c r="C51" s="135" t="s">
        <v>86</v>
      </c>
      <c r="D51" s="135"/>
      <c r="E51" s="135">
        <v>70</v>
      </c>
      <c r="F51" s="135"/>
      <c r="G51" s="39">
        <f>81+40</f>
        <v>121</v>
      </c>
      <c r="H51" s="39">
        <f>71+25</f>
        <v>96</v>
      </c>
    </row>
    <row r="52" spans="2:8" ht="38.25" customHeight="1">
      <c r="B52" s="38" t="s">
        <v>87</v>
      </c>
      <c r="C52" s="135" t="s">
        <v>88</v>
      </c>
      <c r="D52" s="135"/>
      <c r="E52" s="135">
        <v>35</v>
      </c>
      <c r="F52" s="135"/>
      <c r="G52" s="39"/>
      <c r="H52" s="39"/>
    </row>
    <row r="53" spans="2:8">
      <c r="B53" s="38" t="s">
        <v>89</v>
      </c>
      <c r="C53" s="135">
        <v>60</v>
      </c>
      <c r="D53" s="135"/>
      <c r="E53" s="135">
        <v>58</v>
      </c>
      <c r="F53" s="135"/>
      <c r="G53" s="39"/>
      <c r="H53" s="39"/>
    </row>
    <row r="54" spans="2:8">
      <c r="B54" s="38" t="s">
        <v>90</v>
      </c>
      <c r="C54" s="135">
        <v>15</v>
      </c>
      <c r="D54" s="135"/>
      <c r="E54" s="135">
        <v>14.7</v>
      </c>
      <c r="F54" s="135"/>
      <c r="G54" s="39"/>
      <c r="H54" s="39"/>
    </row>
    <row r="55" spans="2:8" ht="26.4">
      <c r="B55" s="38" t="s">
        <v>91</v>
      </c>
      <c r="C55" s="135">
        <v>300</v>
      </c>
      <c r="D55" s="135"/>
      <c r="E55" s="135">
        <v>300</v>
      </c>
      <c r="F55" s="135"/>
      <c r="G55" s="39">
        <f>100+24+1.92</f>
        <v>125.92</v>
      </c>
      <c r="H55" s="39">
        <v>125.92</v>
      </c>
    </row>
    <row r="56" spans="2:8" ht="39.6">
      <c r="B56" s="38" t="s">
        <v>92</v>
      </c>
      <c r="C56" s="135">
        <v>150</v>
      </c>
      <c r="D56" s="135"/>
      <c r="E56" s="135">
        <v>150</v>
      </c>
      <c r="F56" s="135"/>
      <c r="G56" s="39">
        <v>207</v>
      </c>
      <c r="H56" s="39">
        <v>200</v>
      </c>
    </row>
    <row r="57" spans="2:8" ht="26.4">
      <c r="B57" s="38" t="s">
        <v>93</v>
      </c>
      <c r="C57" s="135">
        <v>50</v>
      </c>
      <c r="D57" s="135"/>
      <c r="E57" s="135">
        <v>50</v>
      </c>
      <c r="F57" s="135"/>
      <c r="G57" s="39"/>
      <c r="H57" s="39"/>
    </row>
    <row r="58" spans="2:8">
      <c r="B58" s="38" t="s">
        <v>94</v>
      </c>
      <c r="C58" s="135">
        <v>10</v>
      </c>
      <c r="D58" s="135"/>
      <c r="E58" s="135">
        <v>9.8000000000000007</v>
      </c>
      <c r="F58" s="135"/>
      <c r="G58" s="39"/>
      <c r="H58" s="39"/>
    </row>
    <row r="59" spans="2:8" ht="26.4">
      <c r="B59" s="38" t="s">
        <v>95</v>
      </c>
      <c r="C59" s="135">
        <v>10</v>
      </c>
      <c r="D59" s="135"/>
      <c r="E59" s="135">
        <v>10</v>
      </c>
      <c r="F59" s="135"/>
      <c r="G59" s="41">
        <v>12.5</v>
      </c>
      <c r="H59" s="41">
        <v>12.5</v>
      </c>
    </row>
    <row r="60" spans="2:8">
      <c r="B60" s="38" t="s">
        <v>43</v>
      </c>
      <c r="C60" s="135">
        <v>30</v>
      </c>
      <c r="D60" s="135"/>
      <c r="E60" s="135">
        <v>30</v>
      </c>
      <c r="F60" s="135"/>
      <c r="G60" s="39">
        <f>5+10+5+10+5.25+3.87</f>
        <v>39.119999999999997</v>
      </c>
      <c r="H60" s="39">
        <f>39.12</f>
        <v>39.119999999999997</v>
      </c>
    </row>
    <row r="61" spans="2:8">
      <c r="B61" s="38" t="s">
        <v>96</v>
      </c>
      <c r="C61" s="135">
        <v>15</v>
      </c>
      <c r="D61" s="135"/>
      <c r="E61" s="135">
        <v>15</v>
      </c>
      <c r="F61" s="135"/>
      <c r="G61" s="39">
        <v>5</v>
      </c>
      <c r="H61" s="39">
        <v>5</v>
      </c>
    </row>
    <row r="62" spans="2:8" ht="15" customHeight="1">
      <c r="B62" s="38" t="s">
        <v>97</v>
      </c>
      <c r="C62" s="135" t="s">
        <v>98</v>
      </c>
      <c r="D62" s="135"/>
      <c r="E62" s="135">
        <v>40</v>
      </c>
      <c r="F62" s="135"/>
      <c r="G62" s="39">
        <v>40</v>
      </c>
      <c r="H62" s="39">
        <v>40</v>
      </c>
    </row>
    <row r="63" spans="2:8">
      <c r="B63" s="38" t="s">
        <v>99</v>
      </c>
      <c r="C63" s="135">
        <v>40</v>
      </c>
      <c r="D63" s="135"/>
      <c r="E63" s="136">
        <v>40</v>
      </c>
      <c r="F63" s="136"/>
      <c r="G63" s="39">
        <f>20+6+5+5.6</f>
        <v>36.6</v>
      </c>
      <c r="H63" s="39">
        <v>36.6</v>
      </c>
    </row>
    <row r="64" spans="2:8">
      <c r="B64" s="38" t="s">
        <v>100</v>
      </c>
      <c r="C64" s="136">
        <v>10</v>
      </c>
      <c r="D64" s="136"/>
      <c r="E64" s="135">
        <v>10</v>
      </c>
      <c r="F64" s="135"/>
      <c r="G64" s="39">
        <v>20</v>
      </c>
      <c r="H64" s="39">
        <v>20</v>
      </c>
    </row>
    <row r="65" spans="2:8">
      <c r="B65" s="38" t="s">
        <v>101</v>
      </c>
      <c r="C65" s="135">
        <v>0.4</v>
      </c>
      <c r="D65" s="135"/>
      <c r="E65" s="135">
        <v>0.4</v>
      </c>
      <c r="F65" s="135"/>
      <c r="G65" s="39">
        <v>2</v>
      </c>
      <c r="H65" s="39">
        <v>2</v>
      </c>
    </row>
    <row r="66" spans="2:8">
      <c r="B66" s="38" t="s">
        <v>102</v>
      </c>
      <c r="C66" s="135">
        <v>1.2</v>
      </c>
      <c r="D66" s="135"/>
      <c r="E66" s="135">
        <v>1.2</v>
      </c>
      <c r="F66" s="135"/>
      <c r="G66" s="39"/>
      <c r="H66" s="39"/>
    </row>
    <row r="67" spans="2:8">
      <c r="B67" s="38" t="s">
        <v>103</v>
      </c>
      <c r="C67" s="135">
        <v>1</v>
      </c>
      <c r="D67" s="135"/>
      <c r="E67" s="135">
        <v>1</v>
      </c>
      <c r="F67" s="135"/>
      <c r="G67" s="39"/>
      <c r="H67" s="39"/>
    </row>
    <row r="68" spans="2:8">
      <c r="B68" s="38" t="s">
        <v>104</v>
      </c>
      <c r="C68" s="135">
        <v>5</v>
      </c>
      <c r="D68" s="135"/>
      <c r="E68" s="135">
        <v>5</v>
      </c>
      <c r="F68" s="135"/>
      <c r="G68" s="39">
        <v>3</v>
      </c>
      <c r="H68" s="39">
        <v>3</v>
      </c>
    </row>
    <row r="69" spans="2:8">
      <c r="B69" s="81"/>
      <c r="C69" s="81"/>
      <c r="D69" s="81"/>
      <c r="E69" s="81"/>
      <c r="F69" s="81"/>
      <c r="G69" s="81"/>
      <c r="H69" s="81"/>
    </row>
    <row r="70" spans="2:8">
      <c r="B70" s="81"/>
      <c r="C70" s="81"/>
      <c r="D70" s="81"/>
      <c r="E70" s="81"/>
      <c r="F70" s="81"/>
      <c r="G70" s="81"/>
      <c r="H70" s="81"/>
    </row>
    <row r="71" spans="2:8">
      <c r="B71" s="81"/>
      <c r="C71" s="81"/>
      <c r="D71" s="81"/>
      <c r="E71" s="81"/>
      <c r="F71" s="81"/>
      <c r="G71" s="81"/>
      <c r="H71" s="81"/>
    </row>
    <row r="72" spans="2:8">
      <c r="B72" s="81"/>
      <c r="C72" s="81"/>
      <c r="D72" s="81"/>
      <c r="E72" s="81"/>
      <c r="F72" s="81"/>
      <c r="G72" s="81"/>
      <c r="H72" s="81"/>
    </row>
    <row r="73" spans="2:8">
      <c r="B73" s="81"/>
      <c r="C73" s="81"/>
      <c r="D73" s="81"/>
      <c r="E73" s="81"/>
      <c r="F73" s="81"/>
      <c r="G73" s="81"/>
      <c r="H73" s="81"/>
    </row>
    <row r="74" spans="2:8">
      <c r="B74" s="81"/>
      <c r="C74" s="81"/>
      <c r="D74" s="81"/>
      <c r="E74" s="81"/>
      <c r="F74" s="81"/>
      <c r="G74" s="81"/>
      <c r="H74" s="81"/>
    </row>
    <row r="75" spans="2:8">
      <c r="B75" s="81"/>
      <c r="C75" s="81"/>
      <c r="D75" s="81"/>
      <c r="E75" s="81"/>
      <c r="F75" s="81"/>
      <c r="G75" s="81"/>
      <c r="H75" s="81"/>
    </row>
    <row r="76" spans="2:8">
      <c r="B76" s="81"/>
      <c r="C76" s="81"/>
      <c r="D76" s="81"/>
      <c r="E76" s="81"/>
      <c r="F76" s="81"/>
      <c r="G76" s="81"/>
      <c r="H76" s="81"/>
    </row>
    <row r="77" spans="2:8">
      <c r="B77" s="81"/>
      <c r="C77" s="81"/>
      <c r="D77" s="81"/>
      <c r="E77" s="81"/>
      <c r="F77" s="81"/>
      <c r="G77" s="81"/>
      <c r="H77" s="81"/>
    </row>
    <row r="78" spans="2:8">
      <c r="B78" s="81"/>
      <c r="C78" s="81"/>
      <c r="D78" s="81"/>
      <c r="E78" s="81"/>
      <c r="F78" s="81"/>
      <c r="G78" s="81"/>
      <c r="H78" s="81"/>
    </row>
    <row r="79" spans="2:8">
      <c r="B79" s="81"/>
      <c r="C79" s="81"/>
      <c r="D79" s="81"/>
      <c r="E79" s="81"/>
      <c r="F79" s="81"/>
      <c r="G79" s="81"/>
      <c r="H79" s="81"/>
    </row>
    <row r="80" spans="2:8">
      <c r="B80" s="81"/>
      <c r="C80" s="81"/>
      <c r="D80" s="81"/>
      <c r="E80" s="81"/>
      <c r="F80" s="81"/>
      <c r="G80" s="81"/>
      <c r="H80" s="81"/>
    </row>
    <row r="81" spans="2:8">
      <c r="B81" s="81"/>
      <c r="C81" s="81"/>
      <c r="D81" s="81"/>
      <c r="E81" s="81"/>
      <c r="F81" s="81"/>
      <c r="G81" s="81"/>
      <c r="H81" s="81"/>
    </row>
    <row r="82" spans="2:8">
      <c r="B82" s="81"/>
      <c r="C82" s="81"/>
      <c r="D82" s="81"/>
      <c r="E82" s="81"/>
      <c r="F82" s="81"/>
      <c r="G82" s="81"/>
      <c r="H82" s="81"/>
    </row>
    <row r="83" spans="2:8">
      <c r="B83" s="81"/>
      <c r="C83" s="81"/>
      <c r="D83" s="81"/>
      <c r="E83" s="81"/>
      <c r="F83" s="81"/>
      <c r="G83" s="81"/>
      <c r="H83" s="81"/>
    </row>
    <row r="84" spans="2:8">
      <c r="B84" s="81"/>
      <c r="C84" s="81"/>
      <c r="D84" s="81"/>
      <c r="E84" s="81"/>
      <c r="F84" s="81"/>
      <c r="G84" s="81"/>
      <c r="H84" s="81"/>
    </row>
    <row r="85" spans="2:8">
      <c r="B85" s="81"/>
      <c r="C85" s="81"/>
      <c r="D85" s="81"/>
      <c r="E85" s="81"/>
      <c r="F85" s="81"/>
      <c r="G85" s="81"/>
      <c r="H85" s="81"/>
    </row>
    <row r="86" spans="2:8">
      <c r="B86" s="81"/>
      <c r="C86" s="81"/>
      <c r="D86" s="81"/>
      <c r="E86" s="81"/>
      <c r="F86" s="81"/>
      <c r="G86" s="81"/>
      <c r="H86" s="81"/>
    </row>
    <row r="87" spans="2:8">
      <c r="B87" s="81"/>
      <c r="C87" s="81"/>
      <c r="D87" s="81"/>
      <c r="E87" s="81"/>
      <c r="F87" s="81"/>
      <c r="G87" s="81"/>
      <c r="H87" s="81"/>
    </row>
    <row r="88" spans="2:8">
      <c r="B88" s="81"/>
      <c r="C88" s="81"/>
      <c r="D88" s="81"/>
      <c r="E88" s="81"/>
      <c r="F88" s="81"/>
      <c r="G88" s="81"/>
      <c r="H88" s="81"/>
    </row>
  </sheetData>
  <mergeCells count="78">
    <mergeCell ref="H5:K5"/>
    <mergeCell ref="L5:O5"/>
    <mergeCell ref="A7:O7"/>
    <mergeCell ref="A11:A13"/>
    <mergeCell ref="D12:O13"/>
    <mergeCell ref="A5:A6"/>
    <mergeCell ref="B5:B6"/>
    <mergeCell ref="C5:C6"/>
    <mergeCell ref="D5:F5"/>
    <mergeCell ref="G5:G6"/>
    <mergeCell ref="C32:F33"/>
    <mergeCell ref="G32:I32"/>
    <mergeCell ref="C34:F34"/>
    <mergeCell ref="C35:F35"/>
    <mergeCell ref="B37:H37"/>
    <mergeCell ref="C38:F38"/>
    <mergeCell ref="G38:H38"/>
    <mergeCell ref="B39:B40"/>
    <mergeCell ref="C39:D39"/>
    <mergeCell ref="E39:F39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C53:D53"/>
    <mergeCell ref="E53:F53"/>
    <mergeCell ref="C54:D54"/>
    <mergeCell ref="E54:F54"/>
    <mergeCell ref="C55:D55"/>
    <mergeCell ref="E55:F55"/>
    <mergeCell ref="C56:D56"/>
    <mergeCell ref="E56:F56"/>
    <mergeCell ref="C57:D57"/>
    <mergeCell ref="E57:F57"/>
    <mergeCell ref="C58:D58"/>
    <mergeCell ref="E58:F58"/>
    <mergeCell ref="C59:D59"/>
    <mergeCell ref="E59:F59"/>
    <mergeCell ref="C60:D60"/>
    <mergeCell ref="E60:F60"/>
    <mergeCell ref="C61:D61"/>
    <mergeCell ref="E61:F61"/>
    <mergeCell ref="C62:D62"/>
    <mergeCell ref="E62:F62"/>
    <mergeCell ref="C63:D63"/>
    <mergeCell ref="E63:F63"/>
    <mergeCell ref="C64:D64"/>
    <mergeCell ref="E64:F64"/>
    <mergeCell ref="C68:D68"/>
    <mergeCell ref="E68:F68"/>
    <mergeCell ref="C65:D65"/>
    <mergeCell ref="E65:F65"/>
    <mergeCell ref="C66:D66"/>
    <mergeCell ref="E66:F66"/>
    <mergeCell ref="C67:D67"/>
    <mergeCell ref="E67:F67"/>
  </mergeCells>
  <pageMargins left="0.70833333333333304" right="0.70833333333333304" top="0.74791666666666701" bottom="0.74791666666666701" header="0.51180555555555496" footer="0.51180555555555496"/>
  <pageSetup paperSize="9" scale="67" firstPageNumber="0" orientation="landscape" horizontalDpi="300" verticalDpi="300" r:id="rId1"/>
  <rowBreaks count="1" manualBreakCount="1">
    <brk id="3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AA75"/>
  <sheetViews>
    <sheetView view="pageBreakPreview" topLeftCell="A4" zoomScale="90" zoomScaleNormal="90" zoomScalePageLayoutView="90" workbookViewId="0">
      <selection activeCell="A24" sqref="A24:O24"/>
    </sheetView>
  </sheetViews>
  <sheetFormatPr defaultColWidth="8.6640625" defaultRowHeight="14.4"/>
  <cols>
    <col min="1" max="1" width="13.109375" customWidth="1"/>
    <col min="2" max="2" width="31.109375" style="43" customWidth="1"/>
    <col min="7" max="7" width="13.109375" customWidth="1"/>
    <col min="8" max="8" width="10.88671875" customWidth="1"/>
    <col min="9" max="9" width="11.109375" customWidth="1"/>
    <col min="11" max="11" width="10.6640625" customWidth="1"/>
    <col min="12" max="12" width="8.88671875" customWidth="1"/>
    <col min="13" max="13" width="9.5546875" customWidth="1"/>
    <col min="17" max="27" width="9.109375" style="81" customWidth="1"/>
  </cols>
  <sheetData>
    <row r="1" spans="1:27" ht="15.6">
      <c r="A1" s="42" t="s">
        <v>14</v>
      </c>
      <c r="B1" s="43" t="s">
        <v>15</v>
      </c>
    </row>
    <row r="2" spans="1:27" ht="15.6">
      <c r="A2" s="42" t="s">
        <v>16</v>
      </c>
      <c r="B2" s="43" t="s">
        <v>140</v>
      </c>
    </row>
    <row r="3" spans="1:27" ht="15.6">
      <c r="A3" s="42" t="s">
        <v>18</v>
      </c>
      <c r="B3" s="43" t="s">
        <v>19</v>
      </c>
    </row>
    <row r="4" spans="1:27" ht="31.2">
      <c r="A4" s="42" t="s">
        <v>20</v>
      </c>
      <c r="B4" s="130" t="s">
        <v>161</v>
      </c>
    </row>
    <row r="5" spans="1:27" ht="15.75" customHeight="1">
      <c r="A5" s="150" t="s">
        <v>21</v>
      </c>
      <c r="B5" s="150" t="s">
        <v>22</v>
      </c>
      <c r="C5" s="150" t="s">
        <v>23</v>
      </c>
      <c r="D5" s="150" t="s">
        <v>24</v>
      </c>
      <c r="E5" s="150"/>
      <c r="F5" s="150"/>
      <c r="G5" s="150" t="s">
        <v>25</v>
      </c>
      <c r="H5" s="150" t="s">
        <v>26</v>
      </c>
      <c r="I5" s="150"/>
      <c r="J5" s="150"/>
      <c r="K5" s="150"/>
      <c r="L5" s="150" t="s">
        <v>27</v>
      </c>
      <c r="M5" s="150"/>
      <c r="N5" s="150"/>
      <c r="O5" s="150"/>
    </row>
    <row r="6" spans="1:27" ht="15.6">
      <c r="A6" s="150"/>
      <c r="B6" s="150"/>
      <c r="C6" s="150"/>
      <c r="D6" s="44" t="s">
        <v>28</v>
      </c>
      <c r="E6" s="44" t="s">
        <v>29</v>
      </c>
      <c r="F6" s="44" t="s">
        <v>30</v>
      </c>
      <c r="G6" s="150"/>
      <c r="H6" s="44" t="s">
        <v>117</v>
      </c>
      <c r="I6" s="44" t="s">
        <v>32</v>
      </c>
      <c r="J6" s="44" t="s">
        <v>33</v>
      </c>
      <c r="K6" s="44" t="s">
        <v>34</v>
      </c>
      <c r="L6" s="44" t="s">
        <v>35</v>
      </c>
      <c r="M6" s="44" t="s">
        <v>36</v>
      </c>
      <c r="N6" s="44" t="s">
        <v>37</v>
      </c>
      <c r="O6" s="44" t="s">
        <v>38</v>
      </c>
    </row>
    <row r="7" spans="1:27" s="46" customFormat="1" ht="17.25" customHeight="1">
      <c r="A7" s="156" t="s">
        <v>39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</row>
    <row r="8" spans="1:27" s="46" customFormat="1" ht="27.6">
      <c r="A8" s="12">
        <v>182</v>
      </c>
      <c r="B8" s="60" t="s">
        <v>141</v>
      </c>
      <c r="C8" s="12">
        <v>250</v>
      </c>
      <c r="D8" s="14">
        <v>7.51</v>
      </c>
      <c r="E8" s="14">
        <v>11.72</v>
      </c>
      <c r="F8" s="14">
        <v>37.049999999999997</v>
      </c>
      <c r="G8" s="14">
        <v>285</v>
      </c>
      <c r="H8" s="14"/>
      <c r="I8" s="14">
        <v>1.17</v>
      </c>
      <c r="J8" s="14"/>
      <c r="K8" s="14"/>
      <c r="L8" s="14">
        <v>138.1</v>
      </c>
      <c r="M8" s="14"/>
      <c r="N8" s="14">
        <v>15.9</v>
      </c>
      <c r="O8" s="14">
        <v>0.99</v>
      </c>
    </row>
    <row r="9" spans="1:27" s="1" customFormat="1">
      <c r="A9" s="145">
        <v>8</v>
      </c>
      <c r="B9" s="13" t="s">
        <v>170</v>
      </c>
      <c r="C9" s="47">
        <v>60</v>
      </c>
      <c r="D9" s="48">
        <v>8.61</v>
      </c>
      <c r="E9" s="48">
        <v>15.67</v>
      </c>
      <c r="F9" s="48">
        <v>17.7</v>
      </c>
      <c r="G9" s="97">
        <v>240.8</v>
      </c>
      <c r="H9" s="48">
        <v>0.05</v>
      </c>
      <c r="I9" s="48"/>
      <c r="J9" s="48"/>
      <c r="K9" s="48">
        <v>0.02</v>
      </c>
      <c r="L9" s="48" t="s">
        <v>142</v>
      </c>
      <c r="M9" s="48">
        <v>73.2</v>
      </c>
      <c r="N9" s="48">
        <v>21.95</v>
      </c>
      <c r="O9" s="48">
        <v>0.62</v>
      </c>
      <c r="P9" s="49"/>
      <c r="Q9" s="49"/>
      <c r="R9" s="49"/>
      <c r="S9" s="49"/>
    </row>
    <row r="10" spans="1:27" s="46" customFormat="1" ht="13.8">
      <c r="A10" s="145"/>
      <c r="B10" s="15" t="s">
        <v>109</v>
      </c>
      <c r="C10" s="48">
        <v>40</v>
      </c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50"/>
      <c r="Q10" s="50"/>
      <c r="R10" s="51"/>
      <c r="S10" s="51"/>
    </row>
    <row r="11" spans="1:27" s="46" customFormat="1" ht="13.8">
      <c r="A11" s="145"/>
      <c r="B11" s="15" t="s">
        <v>167</v>
      </c>
      <c r="C11" s="48">
        <v>20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50"/>
      <c r="Q11" s="50"/>
      <c r="R11" s="51"/>
      <c r="S11" s="51"/>
    </row>
    <row r="12" spans="1:27" s="8" customFormat="1" ht="13.8">
      <c r="A12" s="145"/>
      <c r="B12" s="52"/>
      <c r="C12" s="48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50"/>
      <c r="Q12" s="50"/>
      <c r="R12" s="53"/>
      <c r="S12" s="53"/>
    </row>
    <row r="13" spans="1:27">
      <c r="A13" s="12">
        <v>379</v>
      </c>
      <c r="B13" s="13" t="s">
        <v>120</v>
      </c>
      <c r="C13" s="12">
        <v>200</v>
      </c>
      <c r="D13" s="14">
        <f>15.83/5</f>
        <v>3.1659999999999999</v>
      </c>
      <c r="E13" s="14">
        <f>13.39/5</f>
        <v>2.6779999999999999</v>
      </c>
      <c r="F13" s="14">
        <f>79.73/5</f>
        <v>15.946000000000002</v>
      </c>
      <c r="G13" s="14">
        <f>503/5</f>
        <v>100.6</v>
      </c>
      <c r="H13" s="14"/>
      <c r="I13" s="14">
        <f>6.5/5</f>
        <v>1.3</v>
      </c>
      <c r="J13" s="14"/>
      <c r="K13" s="14"/>
      <c r="L13" s="14">
        <f>628.9/5</f>
        <v>125.78</v>
      </c>
      <c r="M13" s="14"/>
      <c r="N13" s="14">
        <f>70/5</f>
        <v>14</v>
      </c>
      <c r="O13" s="14">
        <f>0.67/5</f>
        <v>0.13400000000000001</v>
      </c>
      <c r="P13" s="98"/>
    </row>
    <row r="14" spans="1:27" s="46" customFormat="1" ht="16.2" customHeight="1">
      <c r="A14" s="17" t="s">
        <v>46</v>
      </c>
      <c r="B14" s="18"/>
      <c r="C14" s="18">
        <v>510</v>
      </c>
      <c r="D14" s="74">
        <f>SUM(D8:D13)</f>
        <v>19.285999999999998</v>
      </c>
      <c r="E14" s="74">
        <f>SUM(E8:E13)</f>
        <v>30.068000000000001</v>
      </c>
      <c r="F14" s="74">
        <f>SUM(F8:F13)</f>
        <v>70.695999999999998</v>
      </c>
      <c r="G14" s="74">
        <f>SUM(G8:G13)</f>
        <v>626.4</v>
      </c>
      <c r="H14" s="74" t="s">
        <v>143</v>
      </c>
      <c r="I14" s="74">
        <v>2.4700000000000002</v>
      </c>
      <c r="J14" s="74"/>
      <c r="K14" s="74">
        <v>0.02</v>
      </c>
      <c r="L14" s="74">
        <v>272.98</v>
      </c>
      <c r="M14" s="74">
        <v>73.2</v>
      </c>
      <c r="N14" s="74">
        <v>51.85</v>
      </c>
      <c r="O14" s="74">
        <v>1.74</v>
      </c>
      <c r="Q14" s="51"/>
      <c r="R14" s="51"/>
      <c r="S14" s="99"/>
      <c r="T14" s="100"/>
      <c r="U14" s="100"/>
      <c r="V14" s="100"/>
      <c r="W14" s="101"/>
      <c r="X14" s="101"/>
      <c r="Y14" s="101"/>
      <c r="Z14" s="101"/>
      <c r="AA14" s="101"/>
    </row>
    <row r="15" spans="1:27" s="46" customFormat="1" ht="23.25" customHeight="1">
      <c r="A15" s="156" t="s">
        <v>47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</row>
    <row r="16" spans="1:27">
      <c r="A16" s="12"/>
      <c r="B16" s="13"/>
      <c r="C16" s="1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27" s="46" customFormat="1" ht="25.5" customHeight="1">
      <c r="A17" s="12">
        <v>140</v>
      </c>
      <c r="B17" s="13" t="s">
        <v>144</v>
      </c>
      <c r="C17" s="12">
        <v>250</v>
      </c>
      <c r="D17" s="14">
        <v>6.7</v>
      </c>
      <c r="E17" s="14">
        <v>3.56</v>
      </c>
      <c r="F17" s="14">
        <v>12.46</v>
      </c>
      <c r="G17" s="14">
        <v>128.04</v>
      </c>
      <c r="H17" s="14">
        <v>0.09</v>
      </c>
      <c r="I17" s="14">
        <v>2</v>
      </c>
      <c r="J17" s="14">
        <v>0.05</v>
      </c>
      <c r="K17" s="14">
        <v>1.81</v>
      </c>
      <c r="L17" s="14">
        <v>88.36</v>
      </c>
      <c r="M17" s="14"/>
      <c r="N17" s="14">
        <v>21.6</v>
      </c>
      <c r="O17" s="14">
        <v>2.13</v>
      </c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</row>
    <row r="18" spans="1:27" ht="41.4">
      <c r="A18" s="12">
        <v>234</v>
      </c>
      <c r="B18" s="13" t="s">
        <v>112</v>
      </c>
      <c r="C18" s="12">
        <v>100</v>
      </c>
      <c r="D18" s="14">
        <v>13.98</v>
      </c>
      <c r="E18" s="14">
        <v>11.42</v>
      </c>
      <c r="F18" s="14">
        <v>19.940000000000001</v>
      </c>
      <c r="G18" s="14">
        <v>240</v>
      </c>
      <c r="H18" s="14"/>
      <c r="I18" s="14">
        <v>1.76</v>
      </c>
      <c r="J18" s="14"/>
      <c r="K18" s="14"/>
      <c r="L18" s="14">
        <v>81.84</v>
      </c>
      <c r="M18" s="14"/>
      <c r="N18" s="14">
        <v>55.12</v>
      </c>
      <c r="O18" s="14">
        <v>1.54</v>
      </c>
    </row>
    <row r="19" spans="1:27">
      <c r="A19" s="12">
        <v>304</v>
      </c>
      <c r="B19" s="13" t="s">
        <v>145</v>
      </c>
      <c r="C19" s="12">
        <v>180</v>
      </c>
      <c r="D19" s="14">
        <v>3.65</v>
      </c>
      <c r="E19" s="14">
        <v>11.69</v>
      </c>
      <c r="F19" s="14">
        <v>36.68</v>
      </c>
      <c r="G19" s="14">
        <v>209.7</v>
      </c>
      <c r="H19" s="14"/>
      <c r="I19" s="14"/>
      <c r="J19" s="14"/>
      <c r="K19" s="14"/>
      <c r="L19" s="14">
        <v>1.37</v>
      </c>
      <c r="M19" s="14"/>
      <c r="N19" s="14">
        <f>108.9/20*3</f>
        <v>16.335000000000001</v>
      </c>
      <c r="O19" s="14">
        <f>3.51/20*3</f>
        <v>0.52649999999999997</v>
      </c>
    </row>
    <row r="20" spans="1:27">
      <c r="A20" s="12">
        <v>342</v>
      </c>
      <c r="B20" s="13" t="s">
        <v>51</v>
      </c>
      <c r="C20" s="12">
        <v>200</v>
      </c>
      <c r="D20" s="14">
        <f>0.8/5</f>
        <v>0.16</v>
      </c>
      <c r="E20" s="14">
        <f>0.8/5</f>
        <v>0.16</v>
      </c>
      <c r="F20" s="14">
        <f>139.4/5</f>
        <v>27.880000000000003</v>
      </c>
      <c r="G20" s="14">
        <f>573/5</f>
        <v>114.6</v>
      </c>
      <c r="H20" s="14">
        <f>0.06</f>
        <v>0.06</v>
      </c>
      <c r="I20" s="14">
        <f>4.5/5</f>
        <v>0.9</v>
      </c>
      <c r="J20" s="14">
        <f>0</f>
        <v>0</v>
      </c>
      <c r="K20" s="14">
        <f>0.4/5</f>
        <v>0.08</v>
      </c>
      <c r="L20" s="14">
        <f>70.9/5</f>
        <v>14.180000000000001</v>
      </c>
      <c r="M20" s="14">
        <f>22/5</f>
        <v>4.4000000000000004</v>
      </c>
      <c r="N20" s="14">
        <f>25.7/5</f>
        <v>5.14</v>
      </c>
      <c r="O20" s="14">
        <f>4.76/5</f>
        <v>0.95199999999999996</v>
      </c>
    </row>
    <row r="21" spans="1:27">
      <c r="A21" s="15">
        <v>701</v>
      </c>
      <c r="B21" s="13" t="s">
        <v>52</v>
      </c>
      <c r="C21" s="12">
        <v>40</v>
      </c>
      <c r="D21" s="14">
        <v>3.8</v>
      </c>
      <c r="E21" s="14">
        <v>0.45</v>
      </c>
      <c r="F21" s="14">
        <v>23.35</v>
      </c>
      <c r="G21" s="14">
        <v>114.6</v>
      </c>
      <c r="H21" s="14">
        <v>0.05</v>
      </c>
      <c r="I21" s="14"/>
      <c r="J21" s="14"/>
      <c r="K21" s="14"/>
      <c r="L21" s="14">
        <v>9.3000000000000007</v>
      </c>
      <c r="M21" s="14"/>
      <c r="N21" s="14"/>
      <c r="O21" s="14">
        <v>0.62</v>
      </c>
    </row>
    <row r="22" spans="1:27">
      <c r="A22" s="15">
        <v>701</v>
      </c>
      <c r="B22" s="13" t="s">
        <v>42</v>
      </c>
      <c r="C22" s="12">
        <v>40</v>
      </c>
      <c r="D22" s="14">
        <v>3.04</v>
      </c>
      <c r="E22" s="14">
        <v>0.36</v>
      </c>
      <c r="F22" s="14">
        <v>18.68</v>
      </c>
      <c r="G22" s="14">
        <v>85.44</v>
      </c>
      <c r="H22" s="14">
        <v>0.05</v>
      </c>
      <c r="I22" s="14"/>
      <c r="J22" s="14"/>
      <c r="K22" s="14"/>
      <c r="L22" s="14">
        <v>9.3000000000000007</v>
      </c>
      <c r="M22" s="14"/>
      <c r="N22" s="14"/>
      <c r="O22" s="14">
        <v>0.62</v>
      </c>
    </row>
    <row r="23" spans="1:27" s="46" customFormat="1" ht="16.2" customHeight="1">
      <c r="A23" s="17" t="s">
        <v>46</v>
      </c>
      <c r="B23" s="18"/>
      <c r="C23" s="18">
        <v>810</v>
      </c>
      <c r="D23" s="74">
        <f>SUM(D16:D22)</f>
        <v>31.33</v>
      </c>
      <c r="E23" s="74">
        <f>SUM(E16:E22)</f>
        <v>27.64</v>
      </c>
      <c r="F23" s="74">
        <f>SUM(F16:F22)</f>
        <v>138.99</v>
      </c>
      <c r="G23" s="74">
        <f>SUM(G16:G22)</f>
        <v>892.38000000000011</v>
      </c>
      <c r="H23" s="74">
        <v>0.25</v>
      </c>
      <c r="I23" s="74">
        <v>4.66</v>
      </c>
      <c r="J23" s="74">
        <v>0.05</v>
      </c>
      <c r="K23" s="74">
        <v>1.89</v>
      </c>
      <c r="L23" s="74">
        <v>204.35</v>
      </c>
      <c r="M23" s="74">
        <v>4.4000000000000004</v>
      </c>
      <c r="N23" s="74">
        <v>98.2</v>
      </c>
      <c r="O23" s="74">
        <v>6.39</v>
      </c>
      <c r="Q23" s="51"/>
      <c r="R23" s="51"/>
      <c r="S23" s="102"/>
      <c r="T23" s="103"/>
      <c r="U23" s="103"/>
      <c r="V23" s="103"/>
      <c r="W23" s="103"/>
      <c r="X23" s="103"/>
      <c r="Y23" s="103"/>
      <c r="Z23" s="103"/>
      <c r="AA23" s="103"/>
    </row>
    <row r="24" spans="1:27" s="46" customFormat="1" ht="23.25" customHeight="1">
      <c r="A24" s="156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</row>
    <row r="25" spans="1:27" s="46" customFormat="1" ht="15.75" customHeight="1">
      <c r="A25" s="12"/>
      <c r="B25" s="60"/>
      <c r="C25" s="12"/>
      <c r="D25" s="14"/>
      <c r="E25" s="14"/>
      <c r="F25" s="14"/>
      <c r="G25" s="14"/>
      <c r="H25" s="14"/>
      <c r="I25" s="14"/>
      <c r="J25" s="104"/>
      <c r="K25" s="14"/>
      <c r="L25" s="14"/>
      <c r="M25" s="14"/>
      <c r="N25" s="14"/>
      <c r="O25" s="14"/>
    </row>
    <row r="26" spans="1:27">
      <c r="A26" s="12"/>
      <c r="B26" s="13"/>
      <c r="C26" s="12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27">
      <c r="A27" s="12"/>
      <c r="B27" s="13"/>
      <c r="C27" s="12"/>
      <c r="D27" s="14"/>
      <c r="E27" s="14"/>
      <c r="F27" s="14"/>
      <c r="G27" s="14"/>
      <c r="H27" s="80"/>
      <c r="I27" s="14"/>
      <c r="J27" s="14"/>
      <c r="K27" s="14"/>
      <c r="L27" s="14"/>
      <c r="M27" s="14"/>
      <c r="N27" s="14"/>
      <c r="O27" s="14"/>
    </row>
    <row r="28" spans="1:27" s="46" customFormat="1" ht="16.2" customHeight="1">
      <c r="A28" s="17" t="s">
        <v>46</v>
      </c>
      <c r="B28" s="18"/>
      <c r="C28" s="18"/>
      <c r="D28" s="74">
        <f>SUM(D25:D27)</f>
        <v>0</v>
      </c>
      <c r="E28" s="74">
        <f>SUM(E25:E27)</f>
        <v>0</v>
      </c>
      <c r="F28" s="74">
        <f>SUM(F25:F27)</f>
        <v>0</v>
      </c>
      <c r="G28" s="74">
        <f>SUM(G25:G27)</f>
        <v>0</v>
      </c>
      <c r="H28" s="74"/>
      <c r="I28" s="74"/>
      <c r="J28" s="74"/>
      <c r="K28" s="74"/>
      <c r="L28" s="74"/>
      <c r="M28" s="74"/>
      <c r="N28" s="74"/>
      <c r="O28" s="74"/>
      <c r="Q28" s="51"/>
      <c r="R28" s="51"/>
      <c r="S28" s="99"/>
      <c r="T28" s="103"/>
      <c r="U28" s="103"/>
      <c r="V28" s="103"/>
      <c r="W28" s="103"/>
      <c r="X28" s="103"/>
      <c r="Y28" s="103"/>
      <c r="Z28" s="103"/>
      <c r="AA28" s="103"/>
    </row>
    <row r="29" spans="1:27" s="46" customFormat="1" ht="15.75" customHeight="1">
      <c r="A29" s="105" t="s">
        <v>55</v>
      </c>
      <c r="B29" s="106"/>
      <c r="C29" s="106">
        <v>1320</v>
      </c>
      <c r="D29" s="21">
        <f>SUM(D8:D13)+SUM(D16:D22)+SUM(D25:D27)</f>
        <v>50.616</v>
      </c>
      <c r="E29" s="21">
        <f>SUM(E8:E13)+SUM(E16:E22)+SUM(E25:E27)</f>
        <v>57.707999999999998</v>
      </c>
      <c r="F29" s="21">
        <f>SUM(F8:F13)+SUM(F16:F22)+SUM(F25:F27)</f>
        <v>209.68600000000001</v>
      </c>
      <c r="G29" s="21">
        <f>SUM(G8:G13)+SUM(G16:G22)+SUM(G25:G27)</f>
        <v>1518.7800000000002</v>
      </c>
      <c r="H29" s="74">
        <v>0.3</v>
      </c>
      <c r="I29" s="74">
        <v>7.13</v>
      </c>
      <c r="J29" s="74">
        <v>0.05</v>
      </c>
      <c r="K29" s="74">
        <v>1.91</v>
      </c>
      <c r="L29" s="74">
        <v>477.33</v>
      </c>
      <c r="M29" s="74">
        <v>77.599999999999994</v>
      </c>
      <c r="N29" s="74">
        <v>150.05000000000001</v>
      </c>
      <c r="O29" s="74">
        <v>8.1300000000000008</v>
      </c>
      <c r="Q29" s="51"/>
      <c r="R29" s="51"/>
      <c r="S29" s="107"/>
      <c r="T29" s="108"/>
      <c r="U29" s="108"/>
      <c r="V29" s="108"/>
      <c r="W29" s="108"/>
      <c r="X29" s="108"/>
      <c r="Y29" s="108"/>
      <c r="Z29" s="108"/>
      <c r="AA29" s="108"/>
    </row>
    <row r="31" spans="1:27" s="51" customFormat="1" ht="26.25" customHeight="1">
      <c r="A31" s="82"/>
      <c r="B31" s="137" t="s">
        <v>56</v>
      </c>
      <c r="C31" s="137"/>
      <c r="D31" s="137"/>
      <c r="E31" s="137"/>
      <c r="F31" s="142" t="s">
        <v>57</v>
      </c>
      <c r="G31" s="142"/>
      <c r="H31" s="142"/>
      <c r="I31" s="31" t="s">
        <v>58</v>
      </c>
      <c r="J31" s="83"/>
      <c r="K31" s="83"/>
      <c r="L31" s="83"/>
      <c r="M31" s="83"/>
      <c r="N31" s="83"/>
      <c r="O31" s="83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</row>
    <row r="32" spans="1:27" s="51" customFormat="1" ht="13.8">
      <c r="A32" s="82"/>
      <c r="B32" s="137"/>
      <c r="C32" s="137"/>
      <c r="D32" s="137"/>
      <c r="E32" s="137"/>
      <c r="F32" s="30" t="s">
        <v>28</v>
      </c>
      <c r="G32" s="30" t="s">
        <v>29</v>
      </c>
      <c r="H32" s="30" t="s">
        <v>30</v>
      </c>
      <c r="I32" s="32"/>
      <c r="J32" s="83"/>
      <c r="K32" s="83"/>
      <c r="L32" s="83"/>
      <c r="M32" s="83"/>
      <c r="N32" s="83"/>
      <c r="O32" s="83"/>
      <c r="Q32" s="110"/>
      <c r="R32" s="110"/>
      <c r="S32" s="110"/>
      <c r="T32" s="109"/>
      <c r="U32" s="109"/>
      <c r="V32" s="109"/>
      <c r="W32" s="109"/>
      <c r="X32" s="109"/>
      <c r="Y32" s="109"/>
      <c r="Z32" s="109"/>
      <c r="AA32" s="109"/>
    </row>
    <row r="33" spans="2:12" ht="15.75" customHeight="1">
      <c r="B33" s="137" t="s">
        <v>59</v>
      </c>
      <c r="C33" s="137"/>
      <c r="D33" s="137"/>
      <c r="E33" s="137"/>
      <c r="F33" s="30" t="s">
        <v>60</v>
      </c>
      <c r="G33" s="30" t="s">
        <v>61</v>
      </c>
      <c r="H33" s="30" t="s">
        <v>62</v>
      </c>
      <c r="I33" s="30" t="s">
        <v>63</v>
      </c>
    </row>
    <row r="34" spans="2:12" ht="15.75" customHeight="1">
      <c r="B34" s="137" t="s">
        <v>64</v>
      </c>
      <c r="C34" s="137"/>
      <c r="D34" s="137"/>
      <c r="E34" s="137"/>
      <c r="F34" s="33">
        <f>D29</f>
        <v>50.616</v>
      </c>
      <c r="G34" s="33">
        <f>E29</f>
        <v>57.707999999999998</v>
      </c>
      <c r="H34" s="33">
        <f>F29</f>
        <v>209.68600000000001</v>
      </c>
      <c r="I34" s="33">
        <f>G29</f>
        <v>1518.7800000000002</v>
      </c>
    </row>
    <row r="36" spans="2:12" ht="43.5" customHeight="1">
      <c r="B36" s="138" t="s">
        <v>66</v>
      </c>
      <c r="C36" s="138"/>
      <c r="D36" s="138"/>
      <c r="E36" s="138"/>
      <c r="F36" s="138"/>
      <c r="G36" s="138"/>
      <c r="H36" s="138"/>
    </row>
    <row r="37" spans="2:12" ht="21.75" customHeight="1">
      <c r="B37" s="36" t="s">
        <v>67</v>
      </c>
      <c r="C37" s="139" t="s">
        <v>68</v>
      </c>
      <c r="D37" s="139"/>
      <c r="E37" s="139"/>
      <c r="F37" s="139"/>
      <c r="G37" s="140" t="s">
        <v>69</v>
      </c>
      <c r="H37" s="140"/>
      <c r="J37" s="42" t="s">
        <v>14</v>
      </c>
      <c r="K37" s="111" t="s">
        <v>15</v>
      </c>
    </row>
    <row r="38" spans="2:12" ht="31.5" customHeight="1">
      <c r="B38" s="139"/>
      <c r="C38" s="139" t="s">
        <v>70</v>
      </c>
      <c r="D38" s="139"/>
      <c r="E38" s="139" t="s">
        <v>71</v>
      </c>
      <c r="F38" s="139"/>
      <c r="G38" s="36" t="s">
        <v>70</v>
      </c>
      <c r="H38" s="36" t="s">
        <v>71</v>
      </c>
      <c r="J38" s="42" t="s">
        <v>16</v>
      </c>
      <c r="K38" s="43" t="s">
        <v>140</v>
      </c>
    </row>
    <row r="39" spans="2:12" ht="30" customHeight="1">
      <c r="B39" s="139"/>
      <c r="C39" s="139" t="s">
        <v>72</v>
      </c>
      <c r="D39" s="139"/>
      <c r="E39" s="139" t="s">
        <v>72</v>
      </c>
      <c r="F39" s="139"/>
      <c r="G39" s="36" t="s">
        <v>72</v>
      </c>
      <c r="H39" s="36" t="s">
        <v>72</v>
      </c>
      <c r="J39" s="42" t="s">
        <v>18</v>
      </c>
      <c r="K39" s="43" t="s">
        <v>19</v>
      </c>
    </row>
    <row r="40" spans="2:12" ht="62.4">
      <c r="B40" s="38" t="s">
        <v>73</v>
      </c>
      <c r="C40" s="135">
        <v>80</v>
      </c>
      <c r="D40" s="135"/>
      <c r="E40" s="135">
        <v>80</v>
      </c>
      <c r="F40" s="135"/>
      <c r="G40" s="39">
        <v>40</v>
      </c>
      <c r="H40" s="39">
        <v>40</v>
      </c>
      <c r="J40" s="42" t="s">
        <v>20</v>
      </c>
      <c r="L40" s="43" t="s">
        <v>146</v>
      </c>
    </row>
    <row r="41" spans="2:12">
      <c r="B41" s="38" t="s">
        <v>42</v>
      </c>
      <c r="C41" s="135">
        <v>150</v>
      </c>
      <c r="D41" s="135"/>
      <c r="E41" s="135">
        <v>150</v>
      </c>
      <c r="F41" s="135"/>
      <c r="G41" s="39">
        <f>50+40</f>
        <v>90</v>
      </c>
      <c r="H41" s="39">
        <v>90</v>
      </c>
    </row>
    <row r="42" spans="2:12">
      <c r="B42" s="38" t="s">
        <v>74</v>
      </c>
      <c r="C42" s="135">
        <v>15</v>
      </c>
      <c r="D42" s="135"/>
      <c r="E42" s="135">
        <v>15</v>
      </c>
      <c r="F42" s="135"/>
      <c r="G42" s="39">
        <f>35+0.71</f>
        <v>35.71</v>
      </c>
      <c r="H42" s="39">
        <v>35.71</v>
      </c>
    </row>
    <row r="43" spans="2:12">
      <c r="B43" s="38" t="s">
        <v>75</v>
      </c>
      <c r="C43" s="135">
        <v>45</v>
      </c>
      <c r="D43" s="135"/>
      <c r="E43" s="135">
        <v>45</v>
      </c>
      <c r="F43" s="135"/>
      <c r="G43" s="40">
        <f>54</f>
        <v>54</v>
      </c>
      <c r="H43" s="40">
        <f>54</f>
        <v>54</v>
      </c>
    </row>
    <row r="44" spans="2:12">
      <c r="B44" s="38" t="s">
        <v>76</v>
      </c>
      <c r="C44" s="135">
        <v>15</v>
      </c>
      <c r="D44" s="135"/>
      <c r="E44" s="135">
        <v>15</v>
      </c>
      <c r="F44" s="135"/>
      <c r="G44" s="39">
        <v>10</v>
      </c>
      <c r="H44" s="39">
        <v>10</v>
      </c>
    </row>
    <row r="45" spans="2:12" ht="15" customHeight="1">
      <c r="B45" s="38" t="s">
        <v>77</v>
      </c>
      <c r="C45" s="135" t="s">
        <v>78</v>
      </c>
      <c r="D45" s="135"/>
      <c r="E45" s="136">
        <v>188</v>
      </c>
      <c r="F45" s="136"/>
      <c r="G45" s="39">
        <f>53.4+28.9</f>
        <v>82.3</v>
      </c>
      <c r="H45" s="39">
        <v>82.3</v>
      </c>
    </row>
    <row r="46" spans="2:12" ht="15" customHeight="1">
      <c r="B46" s="38" t="s">
        <v>79</v>
      </c>
      <c r="C46" s="135">
        <v>350</v>
      </c>
      <c r="D46" s="135"/>
      <c r="E46" s="135" t="s">
        <v>80</v>
      </c>
      <c r="F46" s="135"/>
      <c r="G46" s="39">
        <f>10+9.6+2+6+6+19.1+12.6+18.8+21.4+18.8</f>
        <v>124.3</v>
      </c>
      <c r="H46" s="39">
        <f>40+21+8+2+8+15+10+5+5+5</f>
        <v>119</v>
      </c>
    </row>
    <row r="47" spans="2:12" ht="15" customHeight="1">
      <c r="B47" s="38" t="s">
        <v>81</v>
      </c>
      <c r="C47" s="135">
        <v>200</v>
      </c>
      <c r="D47" s="135"/>
      <c r="E47" s="135" t="s">
        <v>82</v>
      </c>
      <c r="F47" s="135"/>
      <c r="G47" s="39">
        <f>100+45.4</f>
        <v>145.4</v>
      </c>
      <c r="H47" s="39">
        <v>145.4</v>
      </c>
    </row>
    <row r="48" spans="2:12" ht="26.4">
      <c r="B48" s="38" t="s">
        <v>83</v>
      </c>
      <c r="C48" s="135">
        <v>15</v>
      </c>
      <c r="D48" s="135"/>
      <c r="E48" s="135">
        <v>15</v>
      </c>
      <c r="F48" s="135"/>
      <c r="G48" s="39"/>
      <c r="H48" s="39"/>
    </row>
    <row r="49" spans="2:8" ht="39.6">
      <c r="B49" s="38" t="s">
        <v>84</v>
      </c>
      <c r="C49" s="135">
        <v>200</v>
      </c>
      <c r="D49" s="135"/>
      <c r="E49" s="135">
        <v>200</v>
      </c>
      <c r="F49" s="135"/>
      <c r="G49" s="39"/>
      <c r="H49" s="39"/>
    </row>
    <row r="50" spans="2:8" ht="25.5" customHeight="1">
      <c r="B50" s="38" t="s">
        <v>85</v>
      </c>
      <c r="C50" s="135" t="s">
        <v>86</v>
      </c>
      <c r="D50" s="135"/>
      <c r="E50" s="135">
        <v>70</v>
      </c>
      <c r="F50" s="135"/>
      <c r="G50" s="39"/>
      <c r="H50" s="39"/>
    </row>
    <row r="51" spans="2:8" ht="25.5" customHeight="1">
      <c r="B51" s="38" t="s">
        <v>87</v>
      </c>
      <c r="C51" s="135" t="s">
        <v>88</v>
      </c>
      <c r="D51" s="135"/>
      <c r="E51" s="135">
        <v>35</v>
      </c>
      <c r="F51" s="135"/>
      <c r="G51" s="39">
        <v>40</v>
      </c>
      <c r="H51" s="39">
        <v>25</v>
      </c>
    </row>
    <row r="52" spans="2:8">
      <c r="B52" s="38" t="s">
        <v>89</v>
      </c>
      <c r="C52" s="135">
        <v>60</v>
      </c>
      <c r="D52" s="135"/>
      <c r="E52" s="135">
        <v>58</v>
      </c>
      <c r="F52" s="135"/>
      <c r="G52" s="39">
        <v>246</v>
      </c>
      <c r="H52" s="39">
        <v>124</v>
      </c>
    </row>
    <row r="53" spans="2:8">
      <c r="B53" s="38" t="s">
        <v>90</v>
      </c>
      <c r="C53" s="135">
        <v>15</v>
      </c>
      <c r="D53" s="135"/>
      <c r="E53" s="135">
        <v>14.7</v>
      </c>
      <c r="F53" s="135"/>
      <c r="G53" s="39"/>
      <c r="H53" s="39"/>
    </row>
    <row r="54" spans="2:8" ht="26.4">
      <c r="B54" s="38" t="s">
        <v>91</v>
      </c>
      <c r="C54" s="135">
        <v>300</v>
      </c>
      <c r="D54" s="135"/>
      <c r="E54" s="135">
        <v>300</v>
      </c>
      <c r="F54" s="135"/>
      <c r="G54" s="39">
        <v>150</v>
      </c>
      <c r="H54" s="39"/>
    </row>
    <row r="55" spans="2:8" ht="26.4">
      <c r="B55" s="38" t="s">
        <v>92</v>
      </c>
      <c r="C55" s="135">
        <v>150</v>
      </c>
      <c r="D55" s="135"/>
      <c r="E55" s="135">
        <v>150</v>
      </c>
      <c r="F55" s="135"/>
      <c r="G55" s="39">
        <v>206</v>
      </c>
      <c r="H55" s="39">
        <v>200</v>
      </c>
    </row>
    <row r="56" spans="2:8" ht="26.4">
      <c r="B56" s="38" t="s">
        <v>93</v>
      </c>
      <c r="C56" s="135">
        <v>50</v>
      </c>
      <c r="D56" s="135"/>
      <c r="E56" s="135">
        <v>50</v>
      </c>
      <c r="F56" s="135"/>
      <c r="G56" s="39"/>
      <c r="H56" s="39"/>
    </row>
    <row r="57" spans="2:8">
      <c r="B57" s="38" t="s">
        <v>94</v>
      </c>
      <c r="C57" s="135">
        <v>10</v>
      </c>
      <c r="D57" s="135"/>
      <c r="E57" s="135">
        <v>9.8000000000000007</v>
      </c>
      <c r="F57" s="135"/>
      <c r="G57" s="39"/>
      <c r="H57" s="39"/>
    </row>
    <row r="58" spans="2:8" ht="26.4">
      <c r="B58" s="38" t="s">
        <v>95</v>
      </c>
      <c r="C58" s="135">
        <v>10</v>
      </c>
      <c r="D58" s="135"/>
      <c r="E58" s="135">
        <v>10</v>
      </c>
      <c r="F58" s="135"/>
      <c r="G58" s="41"/>
      <c r="H58" s="41"/>
    </row>
    <row r="59" spans="2:8">
      <c r="B59" s="38" t="s">
        <v>43</v>
      </c>
      <c r="C59" s="135">
        <v>30</v>
      </c>
      <c r="D59" s="135"/>
      <c r="E59" s="135">
        <v>30</v>
      </c>
      <c r="F59" s="135"/>
      <c r="G59" s="39">
        <f>10+6.75+4+10+10</f>
        <v>40.75</v>
      </c>
      <c r="H59" s="39">
        <v>40.75</v>
      </c>
    </row>
    <row r="60" spans="2:8">
      <c r="B60" s="38" t="s">
        <v>96</v>
      </c>
      <c r="C60" s="135">
        <v>15</v>
      </c>
      <c r="D60" s="135"/>
      <c r="E60" s="135">
        <v>15</v>
      </c>
      <c r="F60" s="135"/>
      <c r="G60" s="39">
        <f>2+0.32+10</f>
        <v>12.32</v>
      </c>
      <c r="H60" s="39">
        <v>12.32</v>
      </c>
    </row>
    <row r="61" spans="2:8" ht="15" customHeight="1">
      <c r="B61" s="38" t="s">
        <v>97</v>
      </c>
      <c r="C61" s="135" t="s">
        <v>98</v>
      </c>
      <c r="D61" s="135"/>
      <c r="E61" s="135">
        <v>40</v>
      </c>
      <c r="F61" s="135"/>
      <c r="G61" s="39">
        <v>80.099999999999994</v>
      </c>
      <c r="H61" s="39">
        <v>80.099999999999994</v>
      </c>
    </row>
    <row r="62" spans="2:8">
      <c r="B62" s="38" t="s">
        <v>99</v>
      </c>
      <c r="C62" s="135">
        <v>40</v>
      </c>
      <c r="D62" s="135"/>
      <c r="E62" s="136">
        <v>40</v>
      </c>
      <c r="F62" s="136"/>
      <c r="G62" s="39">
        <f>20+24+0.35</f>
        <v>44.35</v>
      </c>
      <c r="H62" s="39">
        <v>44.35</v>
      </c>
    </row>
    <row r="63" spans="2:8">
      <c r="B63" s="38" t="s">
        <v>100</v>
      </c>
      <c r="C63" s="136">
        <v>10</v>
      </c>
      <c r="D63" s="136"/>
      <c r="E63" s="135">
        <v>10</v>
      </c>
      <c r="F63" s="135"/>
      <c r="G63" s="39"/>
      <c r="H63" s="39"/>
    </row>
    <row r="64" spans="2:8">
      <c r="B64" s="38" t="s">
        <v>101</v>
      </c>
      <c r="C64" s="135">
        <v>0.4</v>
      </c>
      <c r="D64" s="135"/>
      <c r="E64" s="135">
        <v>0.4</v>
      </c>
      <c r="F64" s="135"/>
      <c r="G64" s="39"/>
      <c r="H64" s="39"/>
    </row>
    <row r="65" spans="2:8">
      <c r="B65" s="38" t="s">
        <v>102</v>
      </c>
      <c r="C65" s="135">
        <v>1.2</v>
      </c>
      <c r="D65" s="135"/>
      <c r="E65" s="135">
        <v>1.2</v>
      </c>
      <c r="F65" s="135"/>
      <c r="G65" s="39"/>
      <c r="H65" s="39"/>
    </row>
    <row r="66" spans="2:8">
      <c r="B66" s="38" t="s">
        <v>103</v>
      </c>
      <c r="C66" s="135">
        <v>1</v>
      </c>
      <c r="D66" s="135"/>
      <c r="E66" s="135">
        <v>1</v>
      </c>
      <c r="F66" s="135"/>
      <c r="G66" s="39">
        <v>0.1</v>
      </c>
      <c r="H66" s="39">
        <v>0.1</v>
      </c>
    </row>
    <row r="67" spans="2:8">
      <c r="B67" s="38" t="s">
        <v>104</v>
      </c>
      <c r="C67" s="135">
        <v>5</v>
      </c>
      <c r="D67" s="135"/>
      <c r="E67" s="135">
        <v>5</v>
      </c>
      <c r="F67" s="135"/>
      <c r="G67" s="39">
        <v>3.03</v>
      </c>
      <c r="H67" s="39">
        <v>3.03</v>
      </c>
    </row>
    <row r="68" spans="2:8">
      <c r="B68" s="112"/>
      <c r="C68" s="81"/>
      <c r="D68" s="81"/>
      <c r="E68" s="81"/>
      <c r="F68" s="81"/>
      <c r="G68" s="81"/>
      <c r="H68" s="81"/>
    </row>
    <row r="69" spans="2:8">
      <c r="B69" s="112"/>
      <c r="C69" s="81"/>
      <c r="D69" s="81"/>
      <c r="E69" s="81"/>
      <c r="F69" s="81"/>
      <c r="G69" s="81"/>
      <c r="H69" s="81"/>
    </row>
    <row r="70" spans="2:8">
      <c r="B70" s="112"/>
      <c r="C70" s="81"/>
      <c r="D70" s="81"/>
      <c r="E70" s="81"/>
      <c r="F70" s="81"/>
      <c r="G70" s="81"/>
      <c r="H70" s="81"/>
    </row>
    <row r="71" spans="2:8">
      <c r="B71" s="112"/>
      <c r="C71" s="81"/>
      <c r="D71" s="81"/>
      <c r="E71" s="81"/>
      <c r="F71" s="81"/>
      <c r="G71" s="81"/>
      <c r="H71" s="81"/>
    </row>
    <row r="72" spans="2:8">
      <c r="B72" s="112"/>
      <c r="C72" s="81"/>
      <c r="D72" s="81"/>
      <c r="E72" s="81"/>
      <c r="F72" s="81"/>
      <c r="G72" s="81"/>
      <c r="H72" s="81"/>
    </row>
    <row r="73" spans="2:8">
      <c r="B73" s="112"/>
      <c r="C73" s="81"/>
      <c r="D73" s="81"/>
      <c r="E73" s="81"/>
      <c r="F73" s="81"/>
      <c r="G73" s="81"/>
      <c r="H73" s="81"/>
    </row>
    <row r="74" spans="2:8">
      <c r="B74" s="112"/>
      <c r="C74" s="81"/>
      <c r="D74" s="81"/>
      <c r="E74" s="81"/>
      <c r="F74" s="81"/>
      <c r="G74" s="81"/>
      <c r="H74" s="81"/>
    </row>
    <row r="75" spans="2:8">
      <c r="B75" s="112"/>
      <c r="C75" s="81"/>
      <c r="D75" s="81"/>
      <c r="E75" s="81"/>
      <c r="F75" s="81"/>
      <c r="G75" s="81"/>
      <c r="H75" s="81"/>
    </row>
  </sheetData>
  <mergeCells count="80">
    <mergeCell ref="H5:K5"/>
    <mergeCell ref="L5:O5"/>
    <mergeCell ref="A7:O7"/>
    <mergeCell ref="A9:A12"/>
    <mergeCell ref="D10:O12"/>
    <mergeCell ref="A5:A6"/>
    <mergeCell ref="B5:B6"/>
    <mergeCell ref="C5:C6"/>
    <mergeCell ref="D5:F5"/>
    <mergeCell ref="G5:G6"/>
    <mergeCell ref="A15:O15"/>
    <mergeCell ref="A24:O24"/>
    <mergeCell ref="B31:E32"/>
    <mergeCell ref="F31:H31"/>
    <mergeCell ref="B33:E33"/>
    <mergeCell ref="B34:E34"/>
    <mergeCell ref="B36:H36"/>
    <mergeCell ref="C37:F37"/>
    <mergeCell ref="G37:H37"/>
    <mergeCell ref="B38:B39"/>
    <mergeCell ref="C38:D38"/>
    <mergeCell ref="E38:F38"/>
    <mergeCell ref="C39:D39"/>
    <mergeCell ref="E39:F39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C53:D53"/>
    <mergeCell ref="E53:F53"/>
    <mergeCell ref="C54:D54"/>
    <mergeCell ref="E54:F54"/>
    <mergeCell ref="C55:D55"/>
    <mergeCell ref="E55:F55"/>
    <mergeCell ref="C56:D56"/>
    <mergeCell ref="E56:F56"/>
    <mergeCell ref="C57:D57"/>
    <mergeCell ref="E57:F57"/>
    <mergeCell ref="C58:D58"/>
    <mergeCell ref="E58:F58"/>
    <mergeCell ref="C59:D59"/>
    <mergeCell ref="E59:F59"/>
    <mergeCell ref="C60:D60"/>
    <mergeCell ref="E60:F60"/>
    <mergeCell ref="C61:D61"/>
    <mergeCell ref="E61:F61"/>
    <mergeCell ref="C62:D62"/>
    <mergeCell ref="E62:F62"/>
    <mergeCell ref="C63:D63"/>
    <mergeCell ref="E63:F63"/>
    <mergeCell ref="C67:D67"/>
    <mergeCell ref="E67:F67"/>
    <mergeCell ref="C64:D64"/>
    <mergeCell ref="E64:F64"/>
    <mergeCell ref="C65:D65"/>
    <mergeCell ref="E65:F65"/>
    <mergeCell ref="C66:D66"/>
    <mergeCell ref="E66:F66"/>
  </mergeCells>
  <pageMargins left="0.70833333333333304" right="0.70833333333333304" top="0.74791666666666701" bottom="0.74791666666666701" header="0.51180555555555496" footer="0.51180555555555496"/>
  <pageSetup paperSize="9" scale="62" firstPageNumber="0" orientation="landscape" horizontalDpi="300" verticalDpi="300" r:id="rId1"/>
  <rowBreaks count="1" manualBreakCount="1">
    <brk id="3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O68"/>
  <sheetViews>
    <sheetView view="pageBreakPreview" topLeftCell="A7" zoomScale="90" zoomScaleNormal="90" zoomScalePageLayoutView="90" workbookViewId="0">
      <selection activeCell="A25" sqref="A25:O25"/>
    </sheetView>
  </sheetViews>
  <sheetFormatPr defaultColWidth="8.6640625" defaultRowHeight="14.4"/>
  <cols>
    <col min="1" max="1" width="16" customWidth="1"/>
    <col min="2" max="2" width="25.33203125" customWidth="1"/>
    <col min="7" max="7" width="12" customWidth="1"/>
    <col min="8" max="8" width="10.5546875" customWidth="1"/>
    <col min="9" max="9" width="11.88671875" customWidth="1"/>
    <col min="10" max="10" width="10.6640625" customWidth="1"/>
    <col min="12" max="12" width="8.88671875" customWidth="1"/>
    <col min="13" max="13" width="9.5546875" customWidth="1"/>
  </cols>
  <sheetData>
    <row r="1" spans="1:15" ht="15.6">
      <c r="A1" s="42" t="s">
        <v>14</v>
      </c>
      <c r="B1" s="43" t="s">
        <v>105</v>
      </c>
    </row>
    <row r="2" spans="1:15" ht="15.6">
      <c r="A2" s="42" t="s">
        <v>16</v>
      </c>
      <c r="B2" s="43" t="s">
        <v>140</v>
      </c>
    </row>
    <row r="3" spans="1:15" ht="15.6">
      <c r="A3" s="42" t="s">
        <v>18</v>
      </c>
      <c r="B3" s="43" t="s">
        <v>19</v>
      </c>
    </row>
    <row r="4" spans="1:15" ht="31.2">
      <c r="A4" s="42" t="s">
        <v>20</v>
      </c>
      <c r="B4" s="130" t="s">
        <v>159</v>
      </c>
    </row>
    <row r="5" spans="1:15" ht="15.75" customHeight="1">
      <c r="A5" s="150" t="s">
        <v>21</v>
      </c>
      <c r="B5" s="150" t="s">
        <v>22</v>
      </c>
      <c r="C5" s="150" t="s">
        <v>23</v>
      </c>
      <c r="D5" s="150" t="s">
        <v>24</v>
      </c>
      <c r="E5" s="150"/>
      <c r="F5" s="150"/>
      <c r="G5" s="150" t="s">
        <v>25</v>
      </c>
      <c r="H5" s="150" t="s">
        <v>26</v>
      </c>
      <c r="I5" s="150"/>
      <c r="J5" s="150"/>
      <c r="K5" s="150"/>
      <c r="L5" s="150" t="s">
        <v>27</v>
      </c>
      <c r="M5" s="150"/>
      <c r="N5" s="150"/>
      <c r="O5" s="150"/>
    </row>
    <row r="6" spans="1:15" ht="15.6">
      <c r="A6" s="150"/>
      <c r="B6" s="150"/>
      <c r="C6" s="150"/>
      <c r="D6" s="44" t="s">
        <v>28</v>
      </c>
      <c r="E6" s="44" t="s">
        <v>29</v>
      </c>
      <c r="F6" s="44" t="s">
        <v>30</v>
      </c>
      <c r="G6" s="150"/>
      <c r="H6" s="44" t="s">
        <v>117</v>
      </c>
      <c r="I6" s="44" t="s">
        <v>32</v>
      </c>
      <c r="J6" s="44" t="s">
        <v>33</v>
      </c>
      <c r="K6" s="44" t="s">
        <v>34</v>
      </c>
      <c r="L6" s="44" t="s">
        <v>35</v>
      </c>
      <c r="M6" s="44" t="s">
        <v>36</v>
      </c>
      <c r="N6" s="44" t="s">
        <v>37</v>
      </c>
      <c r="O6" s="44" t="s">
        <v>38</v>
      </c>
    </row>
    <row r="7" spans="1:15" s="46" customFormat="1" ht="15.75" customHeight="1">
      <c r="A7" s="156" t="s">
        <v>39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</row>
    <row r="8" spans="1:15" s="8" customFormat="1" ht="13.8">
      <c r="A8" s="12">
        <v>173</v>
      </c>
      <c r="B8" s="13" t="s">
        <v>147</v>
      </c>
      <c r="C8" s="12">
        <v>250</v>
      </c>
      <c r="D8" s="14">
        <v>9.0399999999999991</v>
      </c>
      <c r="E8" s="14">
        <v>13.44</v>
      </c>
      <c r="F8" s="14">
        <v>40.159999999999997</v>
      </c>
      <c r="G8" s="14">
        <v>137.9</v>
      </c>
      <c r="H8" s="14">
        <v>0.21</v>
      </c>
      <c r="I8" s="14">
        <v>0.96</v>
      </c>
      <c r="J8" s="14">
        <v>54.8</v>
      </c>
      <c r="K8" s="14"/>
      <c r="L8" s="14">
        <v>158.65</v>
      </c>
      <c r="M8" s="14">
        <v>264.86</v>
      </c>
      <c r="N8" s="14">
        <v>72.05</v>
      </c>
      <c r="O8" s="14">
        <v>2.09</v>
      </c>
    </row>
    <row r="9" spans="1:15">
      <c r="A9" s="145">
        <v>8</v>
      </c>
      <c r="B9" s="13" t="s">
        <v>171</v>
      </c>
      <c r="C9" s="12">
        <v>60</v>
      </c>
      <c r="D9" s="14">
        <v>8.61</v>
      </c>
      <c r="E9" s="14">
        <v>15.67</v>
      </c>
      <c r="F9" s="14">
        <v>17.7</v>
      </c>
      <c r="G9" s="14">
        <v>240.8</v>
      </c>
      <c r="H9" s="14">
        <v>0.05</v>
      </c>
      <c r="I9" s="14"/>
      <c r="J9" s="14"/>
      <c r="K9" s="14">
        <v>0.02</v>
      </c>
      <c r="L9" s="14">
        <v>9.1</v>
      </c>
      <c r="M9" s="14"/>
      <c r="N9" s="14">
        <v>15.9</v>
      </c>
      <c r="O9" s="14">
        <v>0.99</v>
      </c>
    </row>
    <row r="10" spans="1:15">
      <c r="A10" s="145"/>
      <c r="B10" s="87" t="s">
        <v>42</v>
      </c>
      <c r="C10" s="16">
        <v>40</v>
      </c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</row>
    <row r="11" spans="1:15">
      <c r="A11" s="145"/>
      <c r="B11" s="87" t="s">
        <v>167</v>
      </c>
      <c r="C11" s="16">
        <v>20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</row>
    <row r="12" spans="1:15">
      <c r="A12" s="145"/>
      <c r="B12" s="87"/>
      <c r="C12" s="1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</row>
    <row r="13" spans="1:15">
      <c r="A13" s="12">
        <v>382</v>
      </c>
      <c r="B13" s="13" t="s">
        <v>45</v>
      </c>
      <c r="C13" s="12">
        <v>200</v>
      </c>
      <c r="D13" s="14">
        <f>20.39/10*2</f>
        <v>4.0780000000000003</v>
      </c>
      <c r="E13" s="14">
        <f>17.72/10*2</f>
        <v>3.5439999999999996</v>
      </c>
      <c r="F13" s="14">
        <f>87.89/10*2</f>
        <v>17.577999999999999</v>
      </c>
      <c r="G13" s="14">
        <f>593/10*2</f>
        <v>118.6</v>
      </c>
      <c r="H13" s="14"/>
      <c r="I13" s="14">
        <f>7.94/10*2</f>
        <v>1.5880000000000001</v>
      </c>
      <c r="J13" s="14"/>
      <c r="K13" s="14"/>
      <c r="L13" s="14">
        <f>761.1/10*2</f>
        <v>152.22</v>
      </c>
      <c r="M13" s="14"/>
      <c r="N13" s="14">
        <f>106.7/10*2</f>
        <v>21.34</v>
      </c>
      <c r="O13" s="14">
        <f>2.39/10*2</f>
        <v>0.47800000000000004</v>
      </c>
    </row>
    <row r="14" spans="1:15">
      <c r="A14" s="15"/>
      <c r="B14" s="13"/>
      <c r="C14" s="1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s="46" customFormat="1" ht="16.2" customHeight="1">
      <c r="A15" s="17" t="s">
        <v>46</v>
      </c>
      <c r="B15" s="18"/>
      <c r="C15" s="18">
        <v>510</v>
      </c>
      <c r="D15" s="74">
        <f>SUM(D8:D14)</f>
        <v>21.727999999999998</v>
      </c>
      <c r="E15" s="74">
        <f>SUM(E8:E14)</f>
        <v>32.653999999999996</v>
      </c>
      <c r="F15" s="74">
        <f>SUM(F8:F14)</f>
        <v>75.438000000000002</v>
      </c>
      <c r="G15" s="74">
        <f>SUM(G8:G14)</f>
        <v>497.30000000000007</v>
      </c>
      <c r="H15" s="20">
        <v>0.26</v>
      </c>
      <c r="I15" s="20">
        <v>2.5499999999999998</v>
      </c>
      <c r="J15" s="20">
        <v>54.8</v>
      </c>
      <c r="K15" s="20">
        <v>0.02</v>
      </c>
      <c r="L15" s="20">
        <v>319.97000000000003</v>
      </c>
      <c r="M15" s="20">
        <v>264.86</v>
      </c>
      <c r="N15" s="20">
        <v>109.29</v>
      </c>
      <c r="O15" s="20">
        <v>3.56</v>
      </c>
    </row>
    <row r="16" spans="1:15" s="46" customFormat="1" ht="26.25" customHeight="1">
      <c r="A16" s="149" t="s">
        <v>47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</row>
    <row r="17" spans="1:15">
      <c r="A17" s="12"/>
      <c r="B17" s="13"/>
      <c r="C17" s="1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41.4">
      <c r="A18" s="12">
        <v>88</v>
      </c>
      <c r="B18" s="13" t="s">
        <v>148</v>
      </c>
      <c r="C18" s="12">
        <v>250</v>
      </c>
      <c r="D18" s="14">
        <v>2.57</v>
      </c>
      <c r="E18" s="14">
        <f>(19.8/4)+0.2</f>
        <v>5.15</v>
      </c>
      <c r="F18" s="14">
        <f>31.61/4</f>
        <v>7.9024999999999999</v>
      </c>
      <c r="G18" s="14">
        <f>(359/4)+5+30</f>
        <v>124.75</v>
      </c>
      <c r="H18" s="14"/>
      <c r="I18" s="14">
        <f>63.1/4</f>
        <v>15.775</v>
      </c>
      <c r="J18" s="14"/>
      <c r="K18" s="14"/>
      <c r="L18" s="14">
        <f>(197/4)+2</f>
        <v>51.25</v>
      </c>
      <c r="M18" s="14"/>
      <c r="N18" s="14">
        <f>88.5/4</f>
        <v>22.125</v>
      </c>
      <c r="O18" s="14">
        <f>3.3/4</f>
        <v>0.82499999999999996</v>
      </c>
    </row>
    <row r="19" spans="1:15" s="8" customFormat="1" ht="27.6">
      <c r="A19" s="12">
        <v>309</v>
      </c>
      <c r="B19" s="13" t="s">
        <v>49</v>
      </c>
      <c r="C19" s="12">
        <v>180</v>
      </c>
      <c r="D19" s="14">
        <v>1.5</v>
      </c>
      <c r="E19" s="14">
        <v>2.96</v>
      </c>
      <c r="F19" s="14">
        <v>21.63</v>
      </c>
      <c r="G19" s="14">
        <v>193.48</v>
      </c>
      <c r="H19" s="14"/>
      <c r="I19" s="14"/>
      <c r="J19" s="14"/>
      <c r="K19" s="14"/>
      <c r="L19" s="14">
        <v>5.63</v>
      </c>
      <c r="M19" s="14"/>
      <c r="N19" s="14">
        <v>1.61</v>
      </c>
      <c r="O19" s="14">
        <v>0.51</v>
      </c>
    </row>
    <row r="20" spans="1:15" ht="55.2">
      <c r="A20" s="12">
        <v>17</v>
      </c>
      <c r="B20" s="13" t="s">
        <v>122</v>
      </c>
      <c r="C20" s="12">
        <v>160</v>
      </c>
      <c r="D20" s="14">
        <v>27.84</v>
      </c>
      <c r="E20" s="14">
        <v>20.16</v>
      </c>
      <c r="F20" s="14">
        <v>1.6</v>
      </c>
      <c r="G20" s="14">
        <v>473.6</v>
      </c>
      <c r="H20" s="14"/>
      <c r="I20" s="14"/>
      <c r="J20" s="14"/>
      <c r="K20" s="14"/>
      <c r="L20" s="14">
        <v>144.6</v>
      </c>
      <c r="M20" s="14"/>
      <c r="N20" s="14">
        <v>20.8</v>
      </c>
      <c r="O20" s="14">
        <v>1.6</v>
      </c>
    </row>
    <row r="21" spans="1:15">
      <c r="A21" s="12">
        <v>342</v>
      </c>
      <c r="B21" s="13" t="s">
        <v>51</v>
      </c>
      <c r="C21" s="61">
        <v>200</v>
      </c>
      <c r="D21" s="62">
        <v>0.16</v>
      </c>
      <c r="E21" s="61">
        <v>0.16</v>
      </c>
      <c r="F21" s="62">
        <v>27.88</v>
      </c>
      <c r="G21" s="61">
        <v>114.6</v>
      </c>
      <c r="H21" s="62">
        <v>0.06</v>
      </c>
      <c r="I21" s="61">
        <v>0.9</v>
      </c>
      <c r="J21" s="62"/>
      <c r="K21" s="61">
        <v>0.08</v>
      </c>
      <c r="L21" s="62">
        <v>14.8</v>
      </c>
      <c r="M21" s="61">
        <v>4.4000000000000004</v>
      </c>
      <c r="N21" s="62">
        <v>5.14</v>
      </c>
      <c r="O21" s="63">
        <v>0.95</v>
      </c>
    </row>
    <row r="22" spans="1:15">
      <c r="A22" s="15">
        <v>701</v>
      </c>
      <c r="B22" s="13" t="s">
        <v>52</v>
      </c>
      <c r="C22" s="12">
        <v>40</v>
      </c>
      <c r="D22" s="14">
        <v>3.8</v>
      </c>
      <c r="E22" s="14">
        <v>0.45</v>
      </c>
      <c r="F22" s="14">
        <v>23.35</v>
      </c>
      <c r="G22" s="14">
        <v>114.6</v>
      </c>
      <c r="H22" s="14">
        <v>0.05</v>
      </c>
      <c r="I22" s="14"/>
      <c r="J22" s="14"/>
      <c r="K22" s="14"/>
      <c r="L22" s="14">
        <v>9.3000000000000007</v>
      </c>
      <c r="M22" s="14"/>
      <c r="N22" s="14"/>
      <c r="O22" s="14">
        <v>0.62</v>
      </c>
    </row>
    <row r="23" spans="1:15">
      <c r="A23" s="15">
        <v>701</v>
      </c>
      <c r="B23" s="13" t="s">
        <v>42</v>
      </c>
      <c r="C23" s="12">
        <v>50</v>
      </c>
      <c r="D23" s="14">
        <v>3.8</v>
      </c>
      <c r="E23" s="14">
        <v>0.45</v>
      </c>
      <c r="F23" s="14">
        <v>23.35</v>
      </c>
      <c r="G23" s="14">
        <v>106.8</v>
      </c>
      <c r="H23" s="14">
        <v>0.05</v>
      </c>
      <c r="I23" s="14"/>
      <c r="J23" s="14"/>
      <c r="K23" s="14"/>
      <c r="L23" s="14">
        <v>9.3000000000000007</v>
      </c>
      <c r="M23" s="14"/>
      <c r="N23" s="14"/>
      <c r="O23" s="14">
        <v>0.62</v>
      </c>
    </row>
    <row r="24" spans="1:15" s="46" customFormat="1" ht="15.75" customHeight="1">
      <c r="A24" s="17" t="s">
        <v>46</v>
      </c>
      <c r="B24" s="18"/>
      <c r="C24" s="18">
        <v>880</v>
      </c>
      <c r="D24" s="74">
        <f>SUM(D17:D23)</f>
        <v>39.669999999999995</v>
      </c>
      <c r="E24" s="74">
        <v>29.33</v>
      </c>
      <c r="F24" s="74">
        <f>SUM(F17:F23)</f>
        <v>105.71250000000001</v>
      </c>
      <c r="G24" s="74">
        <v>1127.83</v>
      </c>
      <c r="H24" s="74">
        <v>0.16</v>
      </c>
      <c r="I24" s="74">
        <v>16.68</v>
      </c>
      <c r="J24" s="74"/>
      <c r="K24" s="74">
        <v>0.08</v>
      </c>
      <c r="L24" s="74">
        <v>223.84</v>
      </c>
      <c r="M24" s="74">
        <v>4.4000000000000004</v>
      </c>
      <c r="N24" s="74">
        <v>49.68</v>
      </c>
      <c r="O24" s="74">
        <v>8.69</v>
      </c>
    </row>
    <row r="25" spans="1:15" s="46" customFormat="1" ht="24" customHeight="1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</row>
    <row r="26" spans="1:15">
      <c r="A26" s="12"/>
      <c r="B26" s="13"/>
      <c r="C26" s="12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s="8" customFormat="1" ht="18.75" customHeight="1">
      <c r="A27" s="12"/>
      <c r="B27" s="13"/>
      <c r="C27" s="12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s="8" customFormat="1" ht="13.8">
      <c r="A28" s="12"/>
      <c r="B28" s="13"/>
      <c r="C28" s="1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 s="46" customFormat="1" ht="16.2" customHeight="1">
      <c r="A29" s="17" t="s">
        <v>46</v>
      </c>
      <c r="B29" s="18"/>
      <c r="C29" s="18"/>
      <c r="D29" s="74">
        <f>SUM(D26:D28)</f>
        <v>0</v>
      </c>
      <c r="E29" s="74">
        <f>SUM(E26:E28)</f>
        <v>0</v>
      </c>
      <c r="F29" s="74">
        <f>SUM(F26:F28)</f>
        <v>0</v>
      </c>
      <c r="G29" s="74">
        <f>SUM(G26:G28)</f>
        <v>0</v>
      </c>
      <c r="H29" s="74"/>
      <c r="I29" s="74"/>
      <c r="J29" s="74"/>
      <c r="K29" s="74"/>
      <c r="L29" s="74"/>
      <c r="M29" s="74"/>
      <c r="N29" s="74"/>
      <c r="O29" s="74"/>
    </row>
    <row r="30" spans="1:15" s="46" customFormat="1" ht="16.2" customHeight="1">
      <c r="A30" s="64" t="s">
        <v>55</v>
      </c>
      <c r="B30" s="113"/>
      <c r="C30" s="114">
        <v>1360</v>
      </c>
      <c r="D30" s="88">
        <v>61.4</v>
      </c>
      <c r="E30" s="88">
        <f>SUM(E8:E14)+SUM(E17:E23)+SUM(E26:E28)</f>
        <v>61.983999999999995</v>
      </c>
      <c r="F30" s="88">
        <f>SUM(F8:F14)+SUM(F17:F23)+SUM(F26:F28)</f>
        <v>181.15050000000002</v>
      </c>
      <c r="G30" s="88">
        <v>1625.13</v>
      </c>
      <c r="H30" s="74">
        <v>0.42</v>
      </c>
      <c r="I30" s="74">
        <v>19.23</v>
      </c>
      <c r="J30" s="74">
        <v>54.8</v>
      </c>
      <c r="K30" s="74">
        <v>0.1</v>
      </c>
      <c r="L30" s="74">
        <v>554.85</v>
      </c>
      <c r="M30" s="74">
        <v>269.26</v>
      </c>
      <c r="N30" s="74">
        <v>158.97</v>
      </c>
      <c r="O30" s="74">
        <v>12.25</v>
      </c>
    </row>
    <row r="32" spans="1:15" ht="26.25" customHeight="1">
      <c r="B32" s="137" t="s">
        <v>56</v>
      </c>
      <c r="C32" s="137"/>
      <c r="D32" s="137"/>
      <c r="E32" s="137"/>
      <c r="F32" s="142" t="s">
        <v>57</v>
      </c>
      <c r="G32" s="142"/>
      <c r="H32" s="142"/>
      <c r="I32" s="31" t="s">
        <v>58</v>
      </c>
    </row>
    <row r="33" spans="2:11">
      <c r="B33" s="137"/>
      <c r="C33" s="137"/>
      <c r="D33" s="137"/>
      <c r="E33" s="137"/>
      <c r="F33" s="30" t="s">
        <v>28</v>
      </c>
      <c r="G33" s="30" t="s">
        <v>29</v>
      </c>
      <c r="H33" s="30" t="s">
        <v>30</v>
      </c>
      <c r="I33" s="32"/>
    </row>
    <row r="34" spans="2:11" ht="15.75" customHeight="1">
      <c r="B34" s="137" t="s">
        <v>59</v>
      </c>
      <c r="C34" s="137"/>
      <c r="D34" s="137"/>
      <c r="E34" s="137"/>
      <c r="F34" s="30" t="s">
        <v>60</v>
      </c>
      <c r="G34" s="30" t="s">
        <v>61</v>
      </c>
      <c r="H34" s="30" t="s">
        <v>62</v>
      </c>
      <c r="I34" s="30" t="s">
        <v>63</v>
      </c>
    </row>
    <row r="35" spans="2:11" ht="15.75" customHeight="1">
      <c r="B35" s="137" t="s">
        <v>64</v>
      </c>
      <c r="C35" s="137"/>
      <c r="D35" s="137"/>
      <c r="E35" s="137"/>
      <c r="F35" s="33">
        <f>D30</f>
        <v>61.4</v>
      </c>
      <c r="G35" s="33">
        <f>E30</f>
        <v>61.983999999999995</v>
      </c>
      <c r="H35" s="33">
        <f>F30</f>
        <v>181.15050000000002</v>
      </c>
      <c r="I35" s="33">
        <f>G30</f>
        <v>1625.13</v>
      </c>
    </row>
    <row r="37" spans="2:11" ht="32.25" customHeight="1">
      <c r="B37" s="138" t="s">
        <v>66</v>
      </c>
      <c r="C37" s="138"/>
      <c r="D37" s="138"/>
      <c r="E37" s="138"/>
      <c r="F37" s="138"/>
      <c r="G37" s="138"/>
      <c r="H37" s="138"/>
    </row>
    <row r="38" spans="2:11" ht="20.25" customHeight="1">
      <c r="B38" s="36" t="s">
        <v>67</v>
      </c>
      <c r="C38" s="139" t="s">
        <v>68</v>
      </c>
      <c r="D38" s="139"/>
      <c r="E38" s="139"/>
      <c r="F38" s="139"/>
      <c r="G38" s="140" t="s">
        <v>69</v>
      </c>
      <c r="H38" s="140"/>
      <c r="J38" s="42" t="s">
        <v>14</v>
      </c>
      <c r="K38" s="43" t="s">
        <v>105</v>
      </c>
    </row>
    <row r="39" spans="2:11" ht="25.5" customHeight="1">
      <c r="B39" s="139"/>
      <c r="C39" s="139" t="s">
        <v>70</v>
      </c>
      <c r="D39" s="139"/>
      <c r="E39" s="139" t="s">
        <v>71</v>
      </c>
      <c r="F39" s="139"/>
      <c r="G39" s="36" t="s">
        <v>70</v>
      </c>
      <c r="H39" s="36" t="s">
        <v>71</v>
      </c>
      <c r="J39" s="42" t="s">
        <v>16</v>
      </c>
      <c r="K39" s="43" t="s">
        <v>140</v>
      </c>
    </row>
    <row r="40" spans="2:11" ht="30" customHeight="1">
      <c r="B40" s="139"/>
      <c r="C40" s="139" t="s">
        <v>72</v>
      </c>
      <c r="D40" s="139"/>
      <c r="E40" s="139" t="s">
        <v>72</v>
      </c>
      <c r="F40" s="139"/>
      <c r="G40" s="36" t="s">
        <v>72</v>
      </c>
      <c r="H40" s="36" t="s">
        <v>72</v>
      </c>
      <c r="J40" s="42" t="s">
        <v>18</v>
      </c>
      <c r="K40" s="43" t="s">
        <v>19</v>
      </c>
    </row>
    <row r="41" spans="2:11" ht="62.4">
      <c r="B41" s="38" t="s">
        <v>73</v>
      </c>
      <c r="C41" s="135">
        <v>80</v>
      </c>
      <c r="D41" s="135"/>
      <c r="E41" s="135">
        <v>80</v>
      </c>
      <c r="F41" s="135"/>
      <c r="G41" s="39">
        <v>40</v>
      </c>
      <c r="H41" s="39">
        <v>40</v>
      </c>
      <c r="J41" s="42" t="s">
        <v>20</v>
      </c>
      <c r="K41" s="43" t="s">
        <v>65</v>
      </c>
    </row>
    <row r="42" spans="2:11">
      <c r="B42" s="38" t="s">
        <v>42</v>
      </c>
      <c r="C42" s="135">
        <v>150</v>
      </c>
      <c r="D42" s="135"/>
      <c r="E42" s="135">
        <v>150</v>
      </c>
      <c r="F42" s="135"/>
      <c r="G42" s="39">
        <v>70</v>
      </c>
      <c r="H42" s="39">
        <v>70</v>
      </c>
    </row>
    <row r="43" spans="2:11">
      <c r="B43" s="38" t="s">
        <v>74</v>
      </c>
      <c r="C43" s="135">
        <v>15</v>
      </c>
      <c r="D43" s="135"/>
      <c r="E43" s="135">
        <v>15</v>
      </c>
      <c r="F43" s="135"/>
      <c r="G43" s="39">
        <f>2+0.6+17.9</f>
        <v>20.5</v>
      </c>
      <c r="H43" s="39">
        <v>20.5</v>
      </c>
    </row>
    <row r="44" spans="2:11">
      <c r="B44" s="38" t="s">
        <v>75</v>
      </c>
      <c r="C44" s="135">
        <v>45</v>
      </c>
      <c r="D44" s="135"/>
      <c r="E44" s="135">
        <v>45</v>
      </c>
      <c r="F44" s="135"/>
      <c r="G44" s="40">
        <v>44</v>
      </c>
      <c r="H44" s="40">
        <v>44</v>
      </c>
    </row>
    <row r="45" spans="2:11">
      <c r="B45" s="38" t="s">
        <v>76</v>
      </c>
      <c r="C45" s="135">
        <v>15</v>
      </c>
      <c r="D45" s="135"/>
      <c r="E45" s="135">
        <v>15</v>
      </c>
      <c r="F45" s="135"/>
      <c r="G45" s="39">
        <v>52.5</v>
      </c>
      <c r="H45" s="39">
        <v>52.5</v>
      </c>
    </row>
    <row r="46" spans="2:11" ht="15" customHeight="1">
      <c r="B46" s="38" t="s">
        <v>77</v>
      </c>
      <c r="C46" s="135" t="s">
        <v>78</v>
      </c>
      <c r="D46" s="135"/>
      <c r="E46" s="136">
        <v>188</v>
      </c>
      <c r="F46" s="136"/>
      <c r="G46" s="39">
        <v>40</v>
      </c>
      <c r="H46" s="39">
        <v>30</v>
      </c>
    </row>
    <row r="47" spans="2:11" ht="15" customHeight="1">
      <c r="B47" s="38" t="s">
        <v>79</v>
      </c>
      <c r="C47" s="135">
        <v>350</v>
      </c>
      <c r="D47" s="135"/>
      <c r="E47" s="135" t="s">
        <v>80</v>
      </c>
      <c r="F47" s="135"/>
      <c r="G47" s="39">
        <f>63+12.5+3.25+12+2.5+3+2.5+12.5+12+12+92.6</f>
        <v>227.85</v>
      </c>
      <c r="H47" s="39">
        <f>50+10+2.5+10+2.5+10+2.5+2+2+30</f>
        <v>121.5</v>
      </c>
    </row>
    <row r="48" spans="2:11" ht="15" customHeight="1">
      <c r="B48" s="38" t="s">
        <v>81</v>
      </c>
      <c r="C48" s="135">
        <v>200</v>
      </c>
      <c r="D48" s="135"/>
      <c r="E48" s="135" t="s">
        <v>82</v>
      </c>
      <c r="F48" s="135"/>
      <c r="G48" s="39">
        <f>20.7+100+14.3</f>
        <v>135</v>
      </c>
      <c r="H48" s="39">
        <f>100+10+18.2</f>
        <v>128.19999999999999</v>
      </c>
    </row>
    <row r="49" spans="2:8" ht="26.4">
      <c r="B49" s="38" t="s">
        <v>83</v>
      </c>
      <c r="C49" s="135">
        <v>15</v>
      </c>
      <c r="D49" s="135"/>
      <c r="E49" s="135">
        <v>15</v>
      </c>
      <c r="F49" s="135"/>
      <c r="G49" s="39">
        <f>5.6</f>
        <v>5.6</v>
      </c>
      <c r="H49" s="39">
        <v>10</v>
      </c>
    </row>
    <row r="50" spans="2:8" ht="39.6">
      <c r="B50" s="38" t="s">
        <v>84</v>
      </c>
      <c r="C50" s="135">
        <v>200</v>
      </c>
      <c r="D50" s="135"/>
      <c r="E50" s="135">
        <v>200</v>
      </c>
      <c r="F50" s="135"/>
      <c r="G50" s="39">
        <v>200</v>
      </c>
      <c r="H50" s="39">
        <v>200</v>
      </c>
    </row>
    <row r="51" spans="2:8" ht="25.5" customHeight="1">
      <c r="B51" s="38" t="s">
        <v>85</v>
      </c>
      <c r="C51" s="135" t="s">
        <v>86</v>
      </c>
      <c r="D51" s="135"/>
      <c r="E51" s="135">
        <v>70</v>
      </c>
      <c r="F51" s="135"/>
      <c r="G51" s="39">
        <f>110+40</f>
        <v>150</v>
      </c>
      <c r="H51" s="39">
        <f>81+25</f>
        <v>106</v>
      </c>
    </row>
    <row r="52" spans="2:8" ht="25.5" customHeight="1">
      <c r="B52" s="38" t="s">
        <v>87</v>
      </c>
      <c r="C52" s="135" t="s">
        <v>88</v>
      </c>
      <c r="D52" s="135"/>
      <c r="E52" s="135">
        <v>35</v>
      </c>
      <c r="F52" s="135"/>
      <c r="G52" s="39"/>
      <c r="H52" s="39"/>
    </row>
    <row r="53" spans="2:8">
      <c r="B53" s="38" t="s">
        <v>89</v>
      </c>
      <c r="C53" s="135">
        <v>60</v>
      </c>
      <c r="D53" s="135"/>
      <c r="E53" s="135">
        <v>58</v>
      </c>
      <c r="F53" s="135"/>
      <c r="G53" s="39"/>
      <c r="H53" s="39"/>
    </row>
    <row r="54" spans="2:8">
      <c r="B54" s="38" t="s">
        <v>90</v>
      </c>
      <c r="C54" s="135">
        <v>15</v>
      </c>
      <c r="D54" s="135"/>
      <c r="E54" s="135">
        <v>14.7</v>
      </c>
      <c r="F54" s="135"/>
      <c r="G54" s="39"/>
      <c r="H54" s="39"/>
    </row>
    <row r="55" spans="2:8" ht="26.4">
      <c r="B55" s="38" t="s">
        <v>91</v>
      </c>
      <c r="C55" s="135">
        <v>300</v>
      </c>
      <c r="D55" s="135"/>
      <c r="E55" s="135">
        <v>300</v>
      </c>
      <c r="F55" s="135"/>
      <c r="G55" s="39">
        <f>211+200</f>
        <v>411</v>
      </c>
      <c r="H55" s="39">
        <f>400</f>
        <v>400</v>
      </c>
    </row>
    <row r="56" spans="2:8" ht="39.6">
      <c r="B56" s="38" t="s">
        <v>92</v>
      </c>
      <c r="C56" s="135">
        <v>150</v>
      </c>
      <c r="D56" s="135"/>
      <c r="E56" s="135">
        <v>150</v>
      </c>
      <c r="F56" s="135"/>
      <c r="G56" s="39"/>
      <c r="H56" s="39"/>
    </row>
    <row r="57" spans="2:8" ht="26.4">
      <c r="B57" s="38" t="s">
        <v>93</v>
      </c>
      <c r="C57" s="135">
        <v>50</v>
      </c>
      <c r="D57" s="135"/>
      <c r="E57" s="135">
        <v>50</v>
      </c>
      <c r="F57" s="135"/>
      <c r="G57" s="39"/>
      <c r="H57" s="39"/>
    </row>
    <row r="58" spans="2:8">
      <c r="B58" s="38" t="s">
        <v>94</v>
      </c>
      <c r="C58" s="135">
        <v>10</v>
      </c>
      <c r="D58" s="135"/>
      <c r="E58" s="135">
        <v>9.8000000000000007</v>
      </c>
      <c r="F58" s="135"/>
      <c r="G58" s="39">
        <v>16</v>
      </c>
      <c r="H58" s="39">
        <v>15</v>
      </c>
    </row>
    <row r="59" spans="2:8" ht="26.4">
      <c r="B59" s="38" t="s">
        <v>95</v>
      </c>
      <c r="C59" s="135">
        <v>10</v>
      </c>
      <c r="D59" s="135"/>
      <c r="E59" s="135">
        <v>10</v>
      </c>
      <c r="F59" s="135"/>
      <c r="G59" s="41"/>
      <c r="H59" s="41"/>
    </row>
    <row r="60" spans="2:8">
      <c r="B60" s="38" t="s">
        <v>43</v>
      </c>
      <c r="C60" s="135">
        <v>30</v>
      </c>
      <c r="D60" s="135"/>
      <c r="E60" s="135">
        <v>30</v>
      </c>
      <c r="F60" s="135"/>
      <c r="G60" s="39">
        <f>5+10+4.5+0.8</f>
        <v>20.3</v>
      </c>
      <c r="H60" s="39">
        <v>20.3</v>
      </c>
    </row>
    <row r="61" spans="2:8">
      <c r="B61" s="38" t="s">
        <v>96</v>
      </c>
      <c r="C61" s="135">
        <v>15</v>
      </c>
      <c r="D61" s="135"/>
      <c r="E61" s="135">
        <v>15</v>
      </c>
      <c r="F61" s="135"/>
      <c r="G61" s="39">
        <v>15.7</v>
      </c>
      <c r="H61" s="39">
        <v>15.7</v>
      </c>
    </row>
    <row r="62" spans="2:8" ht="15" customHeight="1">
      <c r="B62" s="38" t="s">
        <v>97</v>
      </c>
      <c r="C62" s="135" t="s">
        <v>98</v>
      </c>
      <c r="D62" s="135"/>
      <c r="E62" s="135">
        <v>40</v>
      </c>
      <c r="F62" s="135"/>
      <c r="G62" s="39">
        <f>0.7+0.9</f>
        <v>1.6</v>
      </c>
      <c r="H62" s="39">
        <v>1.6</v>
      </c>
    </row>
    <row r="63" spans="2:8">
      <c r="B63" s="38" t="s">
        <v>99</v>
      </c>
      <c r="C63" s="135">
        <v>40</v>
      </c>
      <c r="D63" s="135"/>
      <c r="E63" s="136">
        <v>40</v>
      </c>
      <c r="F63" s="136"/>
      <c r="G63" s="39">
        <f>1+6+2+5.4+20+0.9</f>
        <v>35.299999999999997</v>
      </c>
      <c r="H63" s="39">
        <v>35.299999999999997</v>
      </c>
    </row>
    <row r="64" spans="2:8">
      <c r="B64" s="38" t="s">
        <v>100</v>
      </c>
      <c r="C64" s="136">
        <v>10</v>
      </c>
      <c r="D64" s="136"/>
      <c r="E64" s="135">
        <v>10</v>
      </c>
      <c r="F64" s="135"/>
      <c r="G64" s="39"/>
      <c r="H64" s="39"/>
    </row>
    <row r="65" spans="2:8">
      <c r="B65" s="38" t="s">
        <v>101</v>
      </c>
      <c r="C65" s="135">
        <v>0.4</v>
      </c>
      <c r="D65" s="135"/>
      <c r="E65" s="135">
        <v>0.4</v>
      </c>
      <c r="F65" s="135"/>
      <c r="G65" s="39"/>
      <c r="H65" s="39"/>
    </row>
    <row r="66" spans="2:8">
      <c r="B66" s="38" t="s">
        <v>102</v>
      </c>
      <c r="C66" s="135">
        <v>1.2</v>
      </c>
      <c r="D66" s="135"/>
      <c r="E66" s="135">
        <v>1.2</v>
      </c>
      <c r="F66" s="135"/>
      <c r="G66" s="39"/>
      <c r="H66" s="39"/>
    </row>
    <row r="67" spans="2:8">
      <c r="B67" s="38" t="s">
        <v>103</v>
      </c>
      <c r="C67" s="135">
        <v>1</v>
      </c>
      <c r="D67" s="135"/>
      <c r="E67" s="135">
        <v>1</v>
      </c>
      <c r="F67" s="135"/>
      <c r="G67" s="39">
        <v>0.5</v>
      </c>
      <c r="H67" s="39">
        <v>0.5</v>
      </c>
    </row>
    <row r="68" spans="2:8">
      <c r="B68" s="38" t="s">
        <v>104</v>
      </c>
      <c r="C68" s="135">
        <v>5</v>
      </c>
      <c r="D68" s="135"/>
      <c r="E68" s="135">
        <v>5</v>
      </c>
      <c r="F68" s="135"/>
      <c r="G68" s="39">
        <v>3.2</v>
      </c>
      <c r="H68" s="39">
        <v>3.2</v>
      </c>
    </row>
  </sheetData>
  <mergeCells count="80">
    <mergeCell ref="H5:K5"/>
    <mergeCell ref="L5:O5"/>
    <mergeCell ref="A7:O7"/>
    <mergeCell ref="A9:A12"/>
    <mergeCell ref="D10:O12"/>
    <mergeCell ref="A5:A6"/>
    <mergeCell ref="B5:B6"/>
    <mergeCell ref="C5:C6"/>
    <mergeCell ref="D5:F5"/>
    <mergeCell ref="G5:G6"/>
    <mergeCell ref="A16:O16"/>
    <mergeCell ref="A25:O25"/>
    <mergeCell ref="B32:E33"/>
    <mergeCell ref="F32:H32"/>
    <mergeCell ref="B34:E34"/>
    <mergeCell ref="B35:E35"/>
    <mergeCell ref="B37:H37"/>
    <mergeCell ref="C38:F38"/>
    <mergeCell ref="G38:H38"/>
    <mergeCell ref="B39:B40"/>
    <mergeCell ref="C39:D39"/>
    <mergeCell ref="E39:F39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C53:D53"/>
    <mergeCell ref="E53:F53"/>
    <mergeCell ref="C54:D54"/>
    <mergeCell ref="E54:F54"/>
    <mergeCell ref="C55:D55"/>
    <mergeCell ref="E55:F55"/>
    <mergeCell ref="C56:D56"/>
    <mergeCell ref="E56:F56"/>
    <mergeCell ref="C57:D57"/>
    <mergeCell ref="E57:F57"/>
    <mergeCell ref="C58:D58"/>
    <mergeCell ref="E58:F58"/>
    <mergeCell ref="C59:D59"/>
    <mergeCell ref="E59:F59"/>
    <mergeCell ref="C60:D60"/>
    <mergeCell ref="E60:F60"/>
    <mergeCell ref="C61:D61"/>
    <mergeCell ref="E61:F61"/>
    <mergeCell ref="C62:D62"/>
    <mergeCell ref="E62:F62"/>
    <mergeCell ref="C63:D63"/>
    <mergeCell ref="E63:F63"/>
    <mergeCell ref="C64:D64"/>
    <mergeCell ref="E64:F64"/>
    <mergeCell ref="C68:D68"/>
    <mergeCell ref="E68:F68"/>
    <mergeCell ref="C65:D65"/>
    <mergeCell ref="E65:F65"/>
    <mergeCell ref="C66:D66"/>
    <mergeCell ref="E66:F66"/>
    <mergeCell ref="C67:D67"/>
    <mergeCell ref="E67:F67"/>
  </mergeCells>
  <pageMargins left="0.70833333333333304" right="0.70833333333333304" top="0.74791666666666701" bottom="0.74791666666666701" header="0.51180555555555496" footer="0.51180555555555496"/>
  <pageSetup paperSize="9" scale="68" firstPageNumber="0" orientation="landscape" horizontalDpi="300" verticalDpi="300" r:id="rId1"/>
  <rowBreaks count="1" manualBreakCount="1">
    <brk id="3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S69"/>
  <sheetViews>
    <sheetView tabSelected="1" view="pageBreakPreview" zoomScale="90" zoomScalePageLayoutView="90" workbookViewId="0">
      <selection activeCell="B14" sqref="B14"/>
    </sheetView>
  </sheetViews>
  <sheetFormatPr defaultColWidth="8.6640625" defaultRowHeight="14.4"/>
  <cols>
    <col min="1" max="1" width="12.6640625" customWidth="1"/>
    <col min="2" max="2" width="27.33203125" customWidth="1"/>
    <col min="6" max="6" width="10.6640625" customWidth="1"/>
    <col min="7" max="7" width="9.5546875" customWidth="1"/>
    <col min="9" max="9" width="9.5546875" customWidth="1"/>
    <col min="10" max="10" width="10.44140625" customWidth="1"/>
    <col min="12" max="12" width="8.88671875" customWidth="1"/>
  </cols>
  <sheetData>
    <row r="1" spans="1:19" ht="15.6">
      <c r="A1" s="42" t="s">
        <v>14</v>
      </c>
      <c r="B1" s="43" t="s">
        <v>116</v>
      </c>
    </row>
    <row r="2" spans="1:19" ht="15.6">
      <c r="A2" s="42" t="s">
        <v>16</v>
      </c>
      <c r="B2" s="43" t="s">
        <v>140</v>
      </c>
    </row>
    <row r="3" spans="1:19" ht="15.6">
      <c r="A3" s="42" t="s">
        <v>18</v>
      </c>
      <c r="B3" s="43" t="s">
        <v>19</v>
      </c>
    </row>
    <row r="4" spans="1:19" ht="31.2">
      <c r="A4" s="42" t="s">
        <v>20</v>
      </c>
      <c r="B4" s="130" t="s">
        <v>159</v>
      </c>
    </row>
    <row r="5" spans="1:19" ht="15.75" customHeight="1">
      <c r="A5" s="150" t="s">
        <v>21</v>
      </c>
      <c r="B5" s="150" t="s">
        <v>22</v>
      </c>
      <c r="C5" s="150" t="s">
        <v>23</v>
      </c>
      <c r="D5" s="150" t="s">
        <v>24</v>
      </c>
      <c r="E5" s="150"/>
      <c r="F5" s="150"/>
      <c r="G5" s="150" t="s">
        <v>25</v>
      </c>
      <c r="H5" s="150" t="s">
        <v>26</v>
      </c>
      <c r="I5" s="150"/>
      <c r="J5" s="150"/>
      <c r="K5" s="150"/>
      <c r="L5" s="150" t="s">
        <v>27</v>
      </c>
      <c r="M5" s="150"/>
      <c r="N5" s="150"/>
      <c r="O5" s="150"/>
    </row>
    <row r="6" spans="1:19" ht="15.6">
      <c r="A6" s="150"/>
      <c r="B6" s="150"/>
      <c r="C6" s="150"/>
      <c r="D6" s="44" t="s">
        <v>28</v>
      </c>
      <c r="E6" s="44" t="s">
        <v>29</v>
      </c>
      <c r="F6" s="44" t="s">
        <v>30</v>
      </c>
      <c r="G6" s="150"/>
      <c r="H6" s="44" t="s">
        <v>117</v>
      </c>
      <c r="I6" s="44" t="s">
        <v>32</v>
      </c>
      <c r="J6" s="44" t="s">
        <v>33</v>
      </c>
      <c r="K6" s="44" t="s">
        <v>34</v>
      </c>
      <c r="L6" s="44" t="s">
        <v>35</v>
      </c>
      <c r="M6" s="44" t="s">
        <v>36</v>
      </c>
      <c r="N6" s="44" t="s">
        <v>37</v>
      </c>
      <c r="O6" s="44" t="s">
        <v>38</v>
      </c>
    </row>
    <row r="7" spans="1:19" s="46" customFormat="1" ht="16.2" customHeight="1">
      <c r="A7" s="156" t="s">
        <v>39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</row>
    <row r="8" spans="1:19" ht="27.6">
      <c r="A8" s="12">
        <v>173</v>
      </c>
      <c r="B8" s="115" t="s">
        <v>149</v>
      </c>
      <c r="C8" s="12">
        <v>260</v>
      </c>
      <c r="D8" s="14">
        <v>10.199999999999999</v>
      </c>
      <c r="E8" s="14">
        <v>13.44</v>
      </c>
      <c r="F8" s="14">
        <v>44.5</v>
      </c>
      <c r="G8" s="14">
        <v>330</v>
      </c>
      <c r="H8" s="14">
        <v>0.25</v>
      </c>
      <c r="I8" s="14">
        <v>0.63</v>
      </c>
      <c r="J8" s="14"/>
      <c r="K8" s="14"/>
      <c r="L8" s="14">
        <v>171.67</v>
      </c>
      <c r="M8" s="14"/>
      <c r="N8" s="14">
        <v>84.3</v>
      </c>
      <c r="O8" s="14">
        <v>2.08</v>
      </c>
    </row>
    <row r="9" spans="1:19">
      <c r="A9" s="12"/>
      <c r="B9" s="13"/>
      <c r="C9" s="12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9" s="1" customFormat="1" ht="27.6">
      <c r="A10" s="145">
        <v>3</v>
      </c>
      <c r="B10" s="13" t="s">
        <v>150</v>
      </c>
      <c r="C10" s="47">
        <v>80</v>
      </c>
      <c r="D10" s="48">
        <v>6.53</v>
      </c>
      <c r="E10" s="48">
        <v>11.91</v>
      </c>
      <c r="F10" s="48">
        <v>12.31</v>
      </c>
      <c r="G10" s="48">
        <v>170.5</v>
      </c>
      <c r="H10" s="48">
        <v>0.06</v>
      </c>
      <c r="I10" s="48">
        <v>0.4</v>
      </c>
      <c r="J10" s="48">
        <v>0.11</v>
      </c>
      <c r="K10" s="48">
        <v>0.85</v>
      </c>
      <c r="L10" s="48">
        <v>259.89999999999998</v>
      </c>
      <c r="M10" s="48">
        <v>162.6</v>
      </c>
      <c r="N10" s="48">
        <v>21.95</v>
      </c>
      <c r="O10" s="48">
        <v>0.62</v>
      </c>
      <c r="P10" s="49"/>
      <c r="Q10" s="49"/>
      <c r="R10" s="49"/>
      <c r="S10" s="49"/>
    </row>
    <row r="11" spans="1:19" s="46" customFormat="1" ht="13.8">
      <c r="A11" s="145"/>
      <c r="B11" s="15" t="s">
        <v>109</v>
      </c>
      <c r="C11" s="48">
        <v>40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50"/>
      <c r="Q11" s="50"/>
      <c r="R11" s="51"/>
      <c r="S11" s="51"/>
    </row>
    <row r="12" spans="1:19" s="46" customFormat="1" ht="13.8">
      <c r="A12" s="145"/>
      <c r="B12" s="15" t="s">
        <v>94</v>
      </c>
      <c r="C12" s="48">
        <v>20</v>
      </c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50"/>
      <c r="Q12" s="50"/>
      <c r="R12" s="51"/>
      <c r="S12" s="51"/>
    </row>
    <row r="13" spans="1:19" s="8" customFormat="1" ht="13.8">
      <c r="A13" s="145"/>
      <c r="B13" s="52" t="s">
        <v>43</v>
      </c>
      <c r="C13" s="48">
        <v>20</v>
      </c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50"/>
      <c r="Q13" s="50"/>
      <c r="R13" s="53"/>
      <c r="S13" s="53"/>
    </row>
    <row r="14" spans="1:19">
      <c r="A14" s="73">
        <v>376</v>
      </c>
      <c r="B14" s="13" t="s">
        <v>172</v>
      </c>
      <c r="C14" s="12">
        <v>200</v>
      </c>
      <c r="D14" s="14">
        <v>7.0000000000000007E-2</v>
      </c>
      <c r="E14" s="14">
        <v>0.02</v>
      </c>
      <c r="F14" s="14">
        <v>15</v>
      </c>
      <c r="G14" s="14">
        <v>60</v>
      </c>
      <c r="H14" s="14"/>
      <c r="I14" s="14">
        <v>0.03</v>
      </c>
      <c r="J14" s="14"/>
      <c r="K14" s="14"/>
      <c r="L14" s="14">
        <v>11.1</v>
      </c>
      <c r="M14" s="14"/>
      <c r="N14" s="14">
        <v>1.4</v>
      </c>
      <c r="O14" s="14">
        <v>0.28000000000000003</v>
      </c>
    </row>
    <row r="15" spans="1:19" s="46" customFormat="1" ht="16.2" customHeight="1">
      <c r="A15" s="17" t="s">
        <v>46</v>
      </c>
      <c r="B15" s="18"/>
      <c r="C15" s="18">
        <v>540</v>
      </c>
      <c r="D15" s="74">
        <v>16.8</v>
      </c>
      <c r="E15" s="74">
        <f>SUM(E8:E14)</f>
        <v>25.37</v>
      </c>
      <c r="F15" s="74">
        <f>SUM(F8:F14)</f>
        <v>71.81</v>
      </c>
      <c r="G15" s="74">
        <f>SUM(G8:G14)</f>
        <v>560.5</v>
      </c>
      <c r="H15" s="74">
        <v>0.31</v>
      </c>
      <c r="I15" s="74">
        <v>1.06</v>
      </c>
      <c r="J15" s="74">
        <v>1.06</v>
      </c>
      <c r="K15" s="74">
        <v>0.85</v>
      </c>
      <c r="L15" s="74">
        <v>442.67</v>
      </c>
      <c r="M15" s="74">
        <v>162.6</v>
      </c>
      <c r="N15" s="74">
        <v>107.65</v>
      </c>
      <c r="O15" s="74">
        <v>2.98</v>
      </c>
      <c r="P15" s="51"/>
      <c r="Q15" s="51"/>
    </row>
    <row r="16" spans="1:19" s="46" customFormat="1" ht="16.2" customHeight="1">
      <c r="A16" s="156" t="s">
        <v>47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51"/>
      <c r="Q16" s="51"/>
    </row>
    <row r="17" spans="1:15">
      <c r="A17" s="12"/>
      <c r="B17" s="13"/>
      <c r="C17" s="12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27.6">
      <c r="A18" s="12">
        <v>82</v>
      </c>
      <c r="B18" s="13" t="s">
        <v>111</v>
      </c>
      <c r="C18" s="12">
        <v>250</v>
      </c>
      <c r="D18" s="14">
        <f>(7.21/4)+0.8</f>
        <v>2.6025</v>
      </c>
      <c r="E18" s="14">
        <f>(19.68/4)+0.2</f>
        <v>5.12</v>
      </c>
      <c r="F18" s="14">
        <v>10.99</v>
      </c>
      <c r="G18" s="14">
        <f>(415/4)+5+30</f>
        <v>138.75</v>
      </c>
      <c r="H18" s="14"/>
      <c r="I18" s="14">
        <f>42.7/4</f>
        <v>10.675000000000001</v>
      </c>
      <c r="J18" s="14"/>
      <c r="K18" s="14"/>
      <c r="L18" s="14">
        <f>(198.9/4)+2</f>
        <v>51.725000000000001</v>
      </c>
      <c r="M18" s="14"/>
      <c r="N18" s="14">
        <f>104.5/4</f>
        <v>26.125</v>
      </c>
      <c r="O18" s="14">
        <f>4.9/4</f>
        <v>1.2250000000000001</v>
      </c>
    </row>
    <row r="19" spans="1:15">
      <c r="A19" s="12">
        <v>259</v>
      </c>
      <c r="B19" s="13" t="s">
        <v>151</v>
      </c>
      <c r="C19" s="12">
        <v>250</v>
      </c>
      <c r="D19" s="14">
        <v>24.17</v>
      </c>
      <c r="E19" s="14">
        <v>21.66</v>
      </c>
      <c r="F19" s="14">
        <v>27.66</v>
      </c>
      <c r="G19" s="14">
        <v>417.59</v>
      </c>
      <c r="H19" s="14"/>
      <c r="I19" s="14">
        <v>4</v>
      </c>
      <c r="J19" s="14"/>
      <c r="K19" s="14"/>
      <c r="L19" s="14">
        <v>87.9</v>
      </c>
      <c r="M19" s="14"/>
      <c r="N19" s="14">
        <v>19</v>
      </c>
      <c r="O19" s="14">
        <v>1.3</v>
      </c>
    </row>
    <row r="20" spans="1:15">
      <c r="A20" s="12"/>
      <c r="B20" s="13"/>
      <c r="C20" s="12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s="8" customFormat="1" ht="27.6">
      <c r="A21" s="12">
        <v>349</v>
      </c>
      <c r="B21" s="13" t="s">
        <v>152</v>
      </c>
      <c r="C21" s="12">
        <v>200</v>
      </c>
      <c r="D21" s="14">
        <v>0.66</v>
      </c>
      <c r="E21" s="14">
        <v>0.09</v>
      </c>
      <c r="F21" s="14">
        <v>32.01</v>
      </c>
      <c r="G21" s="14">
        <v>132.80000000000001</v>
      </c>
      <c r="H21" s="14"/>
      <c r="I21" s="14">
        <v>0.73</v>
      </c>
      <c r="J21" s="14"/>
      <c r="K21" s="14"/>
      <c r="L21" s="14">
        <v>32.479999999999997</v>
      </c>
      <c r="M21" s="14"/>
      <c r="N21" s="14">
        <v>17.46</v>
      </c>
      <c r="O21" s="14">
        <v>0.7</v>
      </c>
    </row>
    <row r="22" spans="1:15">
      <c r="A22" s="116">
        <v>701</v>
      </c>
      <c r="B22" s="13" t="s">
        <v>52</v>
      </c>
      <c r="C22" s="12">
        <v>40</v>
      </c>
      <c r="D22" s="14">
        <v>3.8</v>
      </c>
      <c r="E22" s="14">
        <v>0.45</v>
      </c>
      <c r="F22" s="14">
        <v>23.35</v>
      </c>
      <c r="G22" s="14">
        <v>114.6</v>
      </c>
      <c r="H22" s="14">
        <v>0.04</v>
      </c>
      <c r="I22" s="14"/>
      <c r="J22" s="14"/>
      <c r="K22" s="14"/>
      <c r="L22" s="14">
        <v>9.3000000000000007</v>
      </c>
      <c r="M22" s="14"/>
      <c r="N22" s="14"/>
      <c r="O22" s="14">
        <v>0.62</v>
      </c>
    </row>
    <row r="23" spans="1:15">
      <c r="A23" s="116">
        <v>701</v>
      </c>
      <c r="B23" s="13" t="s">
        <v>42</v>
      </c>
      <c r="C23" s="12">
        <v>40</v>
      </c>
      <c r="D23" s="14">
        <v>3.04</v>
      </c>
      <c r="E23" s="14">
        <v>0.36</v>
      </c>
      <c r="F23" s="14">
        <v>18.68</v>
      </c>
      <c r="G23" s="14">
        <v>85.44</v>
      </c>
      <c r="H23" s="14">
        <v>0.05</v>
      </c>
      <c r="I23" s="14"/>
      <c r="J23" s="14"/>
      <c r="K23" s="14"/>
      <c r="L23" s="14">
        <v>9.3000000000000007</v>
      </c>
      <c r="M23" s="14"/>
      <c r="N23" s="14"/>
      <c r="O23" s="14">
        <v>0.62</v>
      </c>
    </row>
    <row r="24" spans="1:15" s="46" customFormat="1" ht="16.2" customHeight="1">
      <c r="A24" s="17" t="s">
        <v>46</v>
      </c>
      <c r="B24" s="18"/>
      <c r="C24" s="18">
        <v>780</v>
      </c>
      <c r="D24" s="74">
        <f>SUM(D17:D23)</f>
        <v>34.272500000000001</v>
      </c>
      <c r="E24" s="74">
        <v>27.68</v>
      </c>
      <c r="F24" s="74">
        <f>SUM(F17:F23)</f>
        <v>112.69</v>
      </c>
      <c r="G24" s="74">
        <f>SUM(G17:G23)</f>
        <v>889.17999999999984</v>
      </c>
      <c r="H24" s="74">
        <v>0.09</v>
      </c>
      <c r="I24" s="74">
        <v>16.3</v>
      </c>
      <c r="J24" s="74"/>
      <c r="K24" s="74"/>
      <c r="L24" s="74">
        <v>190.71</v>
      </c>
      <c r="M24" s="74"/>
      <c r="N24" s="74">
        <v>62.59</v>
      </c>
      <c r="O24" s="74">
        <v>4.47</v>
      </c>
    </row>
    <row r="25" spans="1:15" s="46" customFormat="1" ht="16.2" customHeight="1">
      <c r="A25" s="156"/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</row>
    <row r="26" spans="1:15" s="46" customFormat="1" ht="13.8">
      <c r="A26" s="145"/>
      <c r="B26" s="13"/>
      <c r="C26" s="12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spans="1:15" s="46" customFormat="1" ht="13.8">
      <c r="A27" s="145"/>
      <c r="B27" s="15"/>
      <c r="C27" s="11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</row>
    <row r="28" spans="1:15">
      <c r="A28" s="12"/>
      <c r="B28" s="13"/>
      <c r="C28" s="1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>
      <c r="A29" s="12"/>
      <c r="B29" s="13"/>
      <c r="C29" s="12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s="46" customFormat="1" ht="16.2" customHeight="1">
      <c r="A30" s="17" t="s">
        <v>46</v>
      </c>
      <c r="B30" s="18"/>
      <c r="C30" s="18"/>
      <c r="D30" s="74">
        <f>SUM(D26:D29)</f>
        <v>0</v>
      </c>
      <c r="E30" s="74">
        <f>SUM(E26:E29)</f>
        <v>0</v>
      </c>
      <c r="F30" s="74">
        <f>SUM(F26:F29)</f>
        <v>0</v>
      </c>
      <c r="G30" s="74">
        <f>SUM(G26:G29)</f>
        <v>0</v>
      </c>
      <c r="H30" s="74"/>
      <c r="I30" s="74"/>
      <c r="J30" s="74"/>
      <c r="K30" s="74"/>
      <c r="L30" s="74"/>
      <c r="M30" s="74"/>
      <c r="N30" s="74"/>
      <c r="O30" s="74"/>
    </row>
    <row r="31" spans="1:15" s="46" customFormat="1" ht="16.2" customHeight="1">
      <c r="A31" s="17" t="s">
        <v>55</v>
      </c>
      <c r="B31" s="18"/>
      <c r="C31" s="18">
        <v>1320</v>
      </c>
      <c r="D31" s="21">
        <v>50.35</v>
      </c>
      <c r="E31" s="21">
        <f>SUM(E8:E14)+SUM(E17:E23)+SUM(E26:E29)</f>
        <v>53.05</v>
      </c>
      <c r="F31" s="21">
        <f>SUM(F8:F14)+SUM(F17:F23)+SUM(F26:F29)</f>
        <v>184.5</v>
      </c>
      <c r="G31" s="21">
        <f>SUM(G8:G14)+SUM(G17:G23)+SUM(G26:G29)</f>
        <v>1449.6799999999998</v>
      </c>
      <c r="H31" s="79">
        <v>0.4</v>
      </c>
      <c r="I31" s="79">
        <v>17.36</v>
      </c>
      <c r="J31" s="79">
        <v>0.11</v>
      </c>
      <c r="K31" s="79">
        <v>0.85</v>
      </c>
      <c r="L31" s="79">
        <v>633.38</v>
      </c>
      <c r="M31" s="79">
        <v>162.6</v>
      </c>
      <c r="N31" s="79">
        <v>170.24</v>
      </c>
      <c r="O31" s="79">
        <v>7.45</v>
      </c>
    </row>
    <row r="33" spans="2:12" ht="39" customHeight="1">
      <c r="B33" s="137" t="s">
        <v>56</v>
      </c>
      <c r="C33" s="137"/>
      <c r="D33" s="137"/>
      <c r="E33" s="137"/>
      <c r="F33" s="142" t="s">
        <v>57</v>
      </c>
      <c r="G33" s="142"/>
      <c r="H33" s="142"/>
      <c r="I33" s="31" t="s">
        <v>58</v>
      </c>
    </row>
    <row r="34" spans="2:12">
      <c r="B34" s="137"/>
      <c r="C34" s="137"/>
      <c r="D34" s="137"/>
      <c r="E34" s="137"/>
      <c r="F34" s="30" t="s">
        <v>28</v>
      </c>
      <c r="G34" s="30" t="s">
        <v>29</v>
      </c>
      <c r="H34" s="30" t="s">
        <v>30</v>
      </c>
      <c r="I34" s="32"/>
    </row>
    <row r="35" spans="2:12" ht="15.75" customHeight="1">
      <c r="B35" s="137" t="s">
        <v>59</v>
      </c>
      <c r="C35" s="137"/>
      <c r="D35" s="137"/>
      <c r="E35" s="137"/>
      <c r="F35" s="30" t="s">
        <v>60</v>
      </c>
      <c r="G35" s="30" t="s">
        <v>61</v>
      </c>
      <c r="H35" s="30" t="s">
        <v>62</v>
      </c>
      <c r="I35" s="30" t="s">
        <v>63</v>
      </c>
    </row>
    <row r="36" spans="2:12" ht="15.75" customHeight="1">
      <c r="B36" s="137" t="s">
        <v>64</v>
      </c>
      <c r="C36" s="137"/>
      <c r="D36" s="137"/>
      <c r="E36" s="137"/>
      <c r="F36" s="117">
        <f>D31</f>
        <v>50.35</v>
      </c>
      <c r="G36" s="117">
        <f>E31</f>
        <v>53.05</v>
      </c>
      <c r="H36" s="117">
        <f>F31</f>
        <v>184.5</v>
      </c>
      <c r="I36" s="117">
        <f>G31</f>
        <v>1449.6799999999998</v>
      </c>
    </row>
    <row r="38" spans="2:12" ht="36.75" customHeight="1">
      <c r="B38" s="138" t="s">
        <v>66</v>
      </c>
      <c r="C38" s="138"/>
      <c r="D38" s="138"/>
      <c r="E38" s="138"/>
      <c r="F38" s="138"/>
      <c r="G38" s="138"/>
      <c r="H38" s="138"/>
      <c r="K38" s="42" t="s">
        <v>14</v>
      </c>
      <c r="L38" s="43" t="s">
        <v>116</v>
      </c>
    </row>
    <row r="39" spans="2:12" ht="24.75" customHeight="1">
      <c r="B39" s="36" t="s">
        <v>67</v>
      </c>
      <c r="C39" s="139" t="s">
        <v>68</v>
      </c>
      <c r="D39" s="139"/>
      <c r="E39" s="139"/>
      <c r="F39" s="139"/>
      <c r="G39" s="140" t="s">
        <v>69</v>
      </c>
      <c r="H39" s="140"/>
      <c r="K39" s="42" t="s">
        <v>16</v>
      </c>
      <c r="L39" s="43" t="s">
        <v>140</v>
      </c>
    </row>
    <row r="40" spans="2:12" ht="30" customHeight="1">
      <c r="B40" s="139"/>
      <c r="C40" s="139" t="s">
        <v>70</v>
      </c>
      <c r="D40" s="139"/>
      <c r="E40" s="139" t="s">
        <v>71</v>
      </c>
      <c r="F40" s="139"/>
      <c r="G40" s="36" t="s">
        <v>70</v>
      </c>
      <c r="H40" s="36" t="s">
        <v>71</v>
      </c>
      <c r="K40" s="42" t="s">
        <v>18</v>
      </c>
      <c r="L40" s="43" t="s">
        <v>19</v>
      </c>
    </row>
    <row r="41" spans="2:12" ht="63" customHeight="1">
      <c r="B41" s="139"/>
      <c r="C41" s="139" t="s">
        <v>72</v>
      </c>
      <c r="D41" s="139"/>
      <c r="E41" s="139" t="s">
        <v>72</v>
      </c>
      <c r="F41" s="139"/>
      <c r="G41" s="36" t="s">
        <v>72</v>
      </c>
      <c r="H41" s="36" t="s">
        <v>72</v>
      </c>
      <c r="K41" s="42" t="s">
        <v>20</v>
      </c>
      <c r="L41" s="43" t="s">
        <v>153</v>
      </c>
    </row>
    <row r="42" spans="2:12" ht="26.4">
      <c r="B42" s="38" t="s">
        <v>73</v>
      </c>
      <c r="C42" s="135">
        <v>80</v>
      </c>
      <c r="D42" s="135"/>
      <c r="E42" s="135">
        <v>80</v>
      </c>
      <c r="F42" s="135"/>
      <c r="G42" s="39">
        <v>40</v>
      </c>
      <c r="H42" s="39">
        <v>40</v>
      </c>
    </row>
    <row r="43" spans="2:12">
      <c r="B43" s="38" t="s">
        <v>42</v>
      </c>
      <c r="C43" s="135">
        <v>150</v>
      </c>
      <c r="D43" s="135"/>
      <c r="E43" s="135">
        <v>150</v>
      </c>
      <c r="F43" s="135"/>
      <c r="G43" s="39">
        <f>90</f>
        <v>90</v>
      </c>
      <c r="H43" s="39">
        <v>90</v>
      </c>
    </row>
    <row r="44" spans="2:12">
      <c r="B44" s="38" t="s">
        <v>74</v>
      </c>
      <c r="C44" s="135">
        <v>15</v>
      </c>
      <c r="D44" s="135"/>
      <c r="E44" s="135">
        <v>15</v>
      </c>
      <c r="F44" s="135"/>
      <c r="G44" s="39">
        <f>3+3.75+11.5</f>
        <v>18.25</v>
      </c>
      <c r="H44" s="39">
        <v>18.25</v>
      </c>
    </row>
    <row r="45" spans="2:12">
      <c r="B45" s="38" t="s">
        <v>75</v>
      </c>
      <c r="C45" s="135">
        <v>45</v>
      </c>
      <c r="D45" s="135"/>
      <c r="E45" s="135">
        <v>45</v>
      </c>
      <c r="F45" s="135"/>
      <c r="G45" s="40">
        <f>35+40</f>
        <v>75</v>
      </c>
      <c r="H45" s="40">
        <v>75</v>
      </c>
    </row>
    <row r="46" spans="2:12">
      <c r="B46" s="38" t="s">
        <v>76</v>
      </c>
      <c r="C46" s="135">
        <v>15</v>
      </c>
      <c r="D46" s="135"/>
      <c r="E46" s="135">
        <v>15</v>
      </c>
      <c r="F46" s="135"/>
      <c r="G46" s="39"/>
      <c r="H46" s="39"/>
    </row>
    <row r="47" spans="2:12" ht="15" customHeight="1">
      <c r="B47" s="38" t="s">
        <v>77</v>
      </c>
      <c r="C47" s="135" t="s">
        <v>78</v>
      </c>
      <c r="D47" s="135"/>
      <c r="E47" s="136">
        <v>188</v>
      </c>
      <c r="F47" s="136"/>
      <c r="G47" s="39">
        <v>27</v>
      </c>
      <c r="H47" s="39">
        <v>20</v>
      </c>
    </row>
    <row r="48" spans="2:12" ht="15" customHeight="1">
      <c r="B48" s="38" t="s">
        <v>79</v>
      </c>
      <c r="C48" s="135">
        <v>350</v>
      </c>
      <c r="D48" s="135"/>
      <c r="E48" s="135" t="s">
        <v>80</v>
      </c>
      <c r="F48" s="135"/>
      <c r="G48" s="39">
        <f>98.6+12.5+50+25+12.5+3.25+12+7.5</f>
        <v>221.35</v>
      </c>
      <c r="H48" s="39">
        <f>78.9+10+40+20+10+2.5+10+7.5</f>
        <v>178.9</v>
      </c>
    </row>
    <row r="49" spans="2:8" ht="15" customHeight="1">
      <c r="B49" s="38" t="s">
        <v>81</v>
      </c>
      <c r="C49" s="135">
        <v>200</v>
      </c>
      <c r="D49" s="135"/>
      <c r="E49" s="135" t="s">
        <v>82</v>
      </c>
      <c r="F49" s="135"/>
      <c r="G49" s="39">
        <v>100</v>
      </c>
      <c r="H49" s="39">
        <v>100</v>
      </c>
    </row>
    <row r="50" spans="2:8" ht="26.4">
      <c r="B50" s="38" t="s">
        <v>83</v>
      </c>
      <c r="C50" s="135">
        <v>15</v>
      </c>
      <c r="D50" s="135"/>
      <c r="E50" s="135">
        <v>15</v>
      </c>
      <c r="F50" s="135"/>
      <c r="G50" s="39">
        <v>20</v>
      </c>
      <c r="H50" s="39">
        <v>37</v>
      </c>
    </row>
    <row r="51" spans="2:8" ht="39.6">
      <c r="B51" s="38" t="s">
        <v>84</v>
      </c>
      <c r="C51" s="135">
        <v>200</v>
      </c>
      <c r="D51" s="135"/>
      <c r="E51" s="135">
        <v>200</v>
      </c>
      <c r="F51" s="135"/>
      <c r="G51" s="39"/>
      <c r="H51" s="39"/>
    </row>
    <row r="52" spans="2:8" ht="25.5" customHeight="1">
      <c r="B52" s="38" t="s">
        <v>85</v>
      </c>
      <c r="C52" s="135" t="s">
        <v>86</v>
      </c>
      <c r="D52" s="135"/>
      <c r="E52" s="135">
        <v>70</v>
      </c>
      <c r="F52" s="135"/>
      <c r="G52" s="39">
        <f>81+40</f>
        <v>121</v>
      </c>
      <c r="H52" s="39">
        <f>71+25</f>
        <v>96</v>
      </c>
    </row>
    <row r="53" spans="2:8" ht="25.5" customHeight="1">
      <c r="B53" s="38" t="s">
        <v>87</v>
      </c>
      <c r="C53" s="135" t="s">
        <v>88</v>
      </c>
      <c r="D53" s="135"/>
      <c r="E53" s="135">
        <v>35</v>
      </c>
      <c r="F53" s="135"/>
      <c r="G53" s="39"/>
      <c r="H53" s="39"/>
    </row>
    <row r="54" spans="2:8">
      <c r="B54" s="38" t="s">
        <v>89</v>
      </c>
      <c r="C54" s="135">
        <v>60</v>
      </c>
      <c r="D54" s="135"/>
      <c r="E54" s="135">
        <v>58</v>
      </c>
      <c r="F54" s="135"/>
      <c r="G54" s="39"/>
      <c r="H54" s="39"/>
    </row>
    <row r="55" spans="2:8">
      <c r="B55" s="38" t="s">
        <v>90</v>
      </c>
      <c r="C55" s="135">
        <v>15</v>
      </c>
      <c r="D55" s="135"/>
      <c r="E55" s="135">
        <v>14.7</v>
      </c>
      <c r="F55" s="135"/>
      <c r="G55" s="39"/>
      <c r="H55" s="39"/>
    </row>
    <row r="56" spans="2:8" ht="26.4">
      <c r="B56" s="38" t="s">
        <v>91</v>
      </c>
      <c r="C56" s="135">
        <v>300</v>
      </c>
      <c r="D56" s="135"/>
      <c r="E56" s="135">
        <v>300</v>
      </c>
      <c r="F56" s="135"/>
      <c r="G56" s="39">
        <v>100</v>
      </c>
      <c r="H56" s="39">
        <v>100</v>
      </c>
    </row>
    <row r="57" spans="2:8" ht="39.6">
      <c r="B57" s="38" t="s">
        <v>92</v>
      </c>
      <c r="C57" s="135">
        <v>150</v>
      </c>
      <c r="D57" s="135"/>
      <c r="E57" s="135">
        <v>150</v>
      </c>
      <c r="F57" s="135"/>
      <c r="G57" s="39">
        <v>237</v>
      </c>
      <c r="H57" s="39">
        <v>230</v>
      </c>
    </row>
    <row r="58" spans="2:8" ht="26.4">
      <c r="B58" s="38" t="s">
        <v>93</v>
      </c>
      <c r="C58" s="135">
        <v>50</v>
      </c>
      <c r="D58" s="135"/>
      <c r="E58" s="135">
        <v>50</v>
      </c>
      <c r="F58" s="135"/>
      <c r="G58" s="39">
        <v>83.7</v>
      </c>
      <c r="H58" s="39">
        <v>82</v>
      </c>
    </row>
    <row r="59" spans="2:8">
      <c r="B59" s="38" t="s">
        <v>94</v>
      </c>
      <c r="C59" s="135">
        <v>10</v>
      </c>
      <c r="D59" s="135"/>
      <c r="E59" s="135">
        <v>9.8000000000000007</v>
      </c>
      <c r="F59" s="135"/>
      <c r="G59" s="39"/>
      <c r="H59" s="39"/>
    </row>
    <row r="60" spans="2:8" ht="26.4">
      <c r="B60" s="38" t="s">
        <v>95</v>
      </c>
      <c r="C60" s="135">
        <v>10</v>
      </c>
      <c r="D60" s="135"/>
      <c r="E60" s="135">
        <v>10</v>
      </c>
      <c r="F60" s="135"/>
      <c r="G60" s="41">
        <v>12.5</v>
      </c>
      <c r="H60" s="41">
        <v>12.5</v>
      </c>
    </row>
    <row r="61" spans="2:8">
      <c r="B61" s="38" t="s">
        <v>43</v>
      </c>
      <c r="C61" s="135">
        <v>30</v>
      </c>
      <c r="D61" s="135"/>
      <c r="E61" s="135">
        <v>30</v>
      </c>
      <c r="F61" s="135"/>
      <c r="G61" s="39">
        <v>30</v>
      </c>
      <c r="H61" s="39">
        <v>30</v>
      </c>
    </row>
    <row r="62" spans="2:8">
      <c r="B62" s="38" t="s">
        <v>96</v>
      </c>
      <c r="C62" s="135">
        <v>15</v>
      </c>
      <c r="D62" s="135"/>
      <c r="E62" s="135">
        <v>15</v>
      </c>
      <c r="F62" s="135"/>
      <c r="G62" s="39">
        <v>15</v>
      </c>
      <c r="H62" s="39">
        <v>15</v>
      </c>
    </row>
    <row r="63" spans="2:8" ht="15" customHeight="1">
      <c r="B63" s="38" t="s">
        <v>97</v>
      </c>
      <c r="C63" s="135" t="s">
        <v>98</v>
      </c>
      <c r="D63" s="135"/>
      <c r="E63" s="135">
        <v>40</v>
      </c>
      <c r="F63" s="135"/>
      <c r="G63" s="39">
        <v>40</v>
      </c>
      <c r="H63" s="39">
        <v>40</v>
      </c>
    </row>
    <row r="64" spans="2:8">
      <c r="B64" s="38" t="s">
        <v>99</v>
      </c>
      <c r="C64" s="135">
        <v>40</v>
      </c>
      <c r="D64" s="135"/>
      <c r="E64" s="136">
        <v>40</v>
      </c>
      <c r="F64" s="136"/>
      <c r="G64" s="39">
        <f>5+20+2.5+6+6</f>
        <v>39.5</v>
      </c>
      <c r="H64" s="39">
        <v>39.5</v>
      </c>
    </row>
    <row r="65" spans="2:8">
      <c r="B65" s="38" t="s">
        <v>100</v>
      </c>
      <c r="C65" s="136">
        <v>10</v>
      </c>
      <c r="D65" s="136"/>
      <c r="E65" s="135">
        <v>10</v>
      </c>
      <c r="F65" s="135"/>
      <c r="G65" s="39"/>
      <c r="H65" s="39"/>
    </row>
    <row r="66" spans="2:8">
      <c r="B66" s="38" t="s">
        <v>101</v>
      </c>
      <c r="C66" s="135">
        <v>0.4</v>
      </c>
      <c r="D66" s="135"/>
      <c r="E66" s="135">
        <v>0.4</v>
      </c>
      <c r="F66" s="135"/>
      <c r="G66" s="39">
        <v>0.5</v>
      </c>
      <c r="H66" s="39">
        <v>0.5</v>
      </c>
    </row>
    <row r="67" spans="2:8">
      <c r="B67" s="38" t="s">
        <v>102</v>
      </c>
      <c r="C67" s="135">
        <v>1.2</v>
      </c>
      <c r="D67" s="135"/>
      <c r="E67" s="135">
        <v>1.2</v>
      </c>
      <c r="F67" s="135"/>
      <c r="G67" s="39"/>
      <c r="H67" s="39"/>
    </row>
    <row r="68" spans="2:8">
      <c r="B68" s="38" t="s">
        <v>103</v>
      </c>
      <c r="C68" s="135">
        <v>1</v>
      </c>
      <c r="D68" s="135"/>
      <c r="E68" s="135">
        <v>1</v>
      </c>
      <c r="F68" s="135"/>
      <c r="G68" s="39"/>
      <c r="H68" s="39"/>
    </row>
    <row r="69" spans="2:8">
      <c r="B69" s="38" t="s">
        <v>104</v>
      </c>
      <c r="C69" s="135">
        <v>5</v>
      </c>
      <c r="D69" s="135"/>
      <c r="E69" s="135">
        <v>5</v>
      </c>
      <c r="F69" s="135"/>
      <c r="G69" s="39">
        <v>3.8</v>
      </c>
      <c r="H69" s="39">
        <v>3.8</v>
      </c>
    </row>
  </sheetData>
  <mergeCells count="82">
    <mergeCell ref="H5:K5"/>
    <mergeCell ref="L5:O5"/>
    <mergeCell ref="A7:O7"/>
    <mergeCell ref="A10:A13"/>
    <mergeCell ref="D11:O13"/>
    <mergeCell ref="A5:A6"/>
    <mergeCell ref="B5:B6"/>
    <mergeCell ref="C5:C6"/>
    <mergeCell ref="D5:F5"/>
    <mergeCell ref="G5:G6"/>
    <mergeCell ref="A16:O16"/>
    <mergeCell ref="A25:O25"/>
    <mergeCell ref="A26:A27"/>
    <mergeCell ref="D27:O27"/>
    <mergeCell ref="B33:E34"/>
    <mergeCell ref="F33:H33"/>
    <mergeCell ref="B35:E35"/>
    <mergeCell ref="B36:E36"/>
    <mergeCell ref="B38:H38"/>
    <mergeCell ref="C39:F39"/>
    <mergeCell ref="G39:H39"/>
    <mergeCell ref="B40:B41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E49:F49"/>
    <mergeCell ref="C50:D50"/>
    <mergeCell ref="E50:F50"/>
    <mergeCell ref="C51:D51"/>
    <mergeCell ref="E51:F51"/>
    <mergeCell ref="C52:D52"/>
    <mergeCell ref="E52:F52"/>
    <mergeCell ref="C53:D53"/>
    <mergeCell ref="E53:F53"/>
    <mergeCell ref="C54:D54"/>
    <mergeCell ref="E54:F54"/>
    <mergeCell ref="C55:D55"/>
    <mergeCell ref="E55:F55"/>
    <mergeCell ref="C56:D56"/>
    <mergeCell ref="E56:F56"/>
    <mergeCell ref="C57:D57"/>
    <mergeCell ref="E57:F57"/>
    <mergeCell ref="C58:D58"/>
    <mergeCell ref="E58:F58"/>
    <mergeCell ref="C59:D59"/>
    <mergeCell ref="E59:F59"/>
    <mergeCell ref="C60:D60"/>
    <mergeCell ref="E60:F60"/>
    <mergeCell ref="C61:D61"/>
    <mergeCell ref="E61:F61"/>
    <mergeCell ref="C62:D62"/>
    <mergeCell ref="E62:F62"/>
    <mergeCell ref="C63:D63"/>
    <mergeCell ref="E63:F63"/>
    <mergeCell ref="C64:D64"/>
    <mergeCell ref="E64:F64"/>
    <mergeCell ref="C65:D65"/>
    <mergeCell ref="E65:F65"/>
    <mergeCell ref="C69:D69"/>
    <mergeCell ref="E69:F69"/>
    <mergeCell ref="C66:D66"/>
    <mergeCell ref="E66:F66"/>
    <mergeCell ref="C67:D67"/>
    <mergeCell ref="E67:F67"/>
    <mergeCell ref="C68:D68"/>
    <mergeCell ref="E68:F68"/>
  </mergeCells>
  <pageMargins left="0.70833333333333304" right="0.70833333333333304" top="0.74791666666666701" bottom="0.74791666666666701" header="0.51180555555555496" footer="0.51180555555555496"/>
  <pageSetup paperSize="9" scale="72" firstPageNumber="0" orientation="landscape" horizontalDpi="300" verticalDpi="300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Титульный лист</vt:lpstr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свод 10 дней</vt:lpstr>
      <vt:lpstr>'1 день'!Область_печати</vt:lpstr>
      <vt:lpstr>'10 день'!Область_печати</vt:lpstr>
      <vt:lpstr>'2 день'!Область_печати</vt:lpstr>
      <vt:lpstr>'3 день'!Область_печати</vt:lpstr>
      <vt:lpstr>'4 день'!Область_печати</vt:lpstr>
      <vt:lpstr>'5 день'!Область_печати</vt:lpstr>
      <vt:lpstr>'6 день'!Область_печати</vt:lpstr>
      <vt:lpstr>'7 день'!Область_печати</vt:lpstr>
      <vt:lpstr>'8 день'!Область_печати</vt:lpstr>
      <vt:lpstr>'9 день'!Область_печати</vt:lpstr>
      <vt:lpstr>'свод 10 дней'!Область_печати</vt:lpstr>
      <vt:lpstr>'Титульный лист'!Область_печати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Ахмед</dc:creator>
  <dc:description/>
  <cp:lastModifiedBy>1</cp:lastModifiedBy>
  <cp:revision>17</cp:revision>
  <cp:lastPrinted>2025-05-15T12:59:43Z</cp:lastPrinted>
  <dcterms:created xsi:type="dcterms:W3CDTF">2017-02-04T19:31:45Z</dcterms:created>
  <dcterms:modified xsi:type="dcterms:W3CDTF">2025-05-15T13:00:35Z</dcterms:modified>
  <dc:language>ru-RU</dc:language>
</cp:coreProperties>
</file>