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 tabRatio="689" activeTab="6"/>
  </bookViews>
  <sheets>
    <sheet name="0_Читать_Инструкцию" sheetId="16" r:id="rId1"/>
    <sheet name="Справочник_МСУ" sheetId="15" r:id="rId2"/>
    <sheet name="1" sheetId="18" r:id="rId3"/>
    <sheet name="2_4е" sheetId="20" r:id="rId4"/>
    <sheet name="3_5-9е" sheetId="10" r:id="rId5"/>
    <sheet name="3_10-11е" sheetId="22" r:id="rId6"/>
    <sheet name="4" sheetId="14" r:id="rId7"/>
    <sheet name="5" sheetId="7" r:id="rId8"/>
    <sheet name="6 Прилож к 3" sheetId="23" r:id="rId9"/>
    <sheet name="danet" sheetId="17" state="hidden" r:id="rId10"/>
  </sheets>
  <definedNames>
    <definedName name="da_net">danet!$A$1:$A$2</definedName>
    <definedName name="danet">Справочник_МСУ!$D$1:$D$2</definedName>
    <definedName name="etap">Справочник_МСУ!$F$1:$F$3</definedName>
    <definedName name="mouo">Справочник_МСУ!$A:$B</definedName>
    <definedName name="_xlnm.Print_Titles" localSheetId="7">'5'!$7:$10</definedName>
    <definedName name="_xlnm.Print_Area" localSheetId="2">'1'!$A$1:$AF$25</definedName>
  </definedNames>
  <calcPr calcId="162913"/>
</workbook>
</file>

<file path=xl/calcChain.xml><?xml version="1.0" encoding="utf-8"?>
<calcChain xmlns="http://schemas.openxmlformats.org/spreadsheetml/2006/main">
  <c r="E33" i="20" l="1"/>
  <c r="D12" i="7" l="1"/>
  <c r="C12" i="7"/>
  <c r="A29" i="23" l="1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19" i="18"/>
  <c r="A20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I17" i="18" s="1"/>
  <c r="F9" i="14"/>
  <c r="H10" i="14"/>
  <c r="D9" i="14"/>
  <c r="F16" i="18"/>
  <c r="C16" i="18" l="1"/>
  <c r="R30" i="20"/>
  <c r="S30" i="20"/>
  <c r="T30" i="20"/>
  <c r="U30" i="20"/>
  <c r="I29" i="23" l="1"/>
  <c r="H29" i="23"/>
  <c r="G29" i="23"/>
  <c r="F29" i="23"/>
  <c r="E29" i="23"/>
  <c r="D29" i="23"/>
  <c r="C29" i="23"/>
  <c r="H31" i="23" l="1"/>
  <c r="J51" i="10"/>
  <c r="L51" i="10"/>
  <c r="N51" i="10"/>
  <c r="P51" i="10"/>
  <c r="E8" i="18" l="1"/>
  <c r="D16" i="18"/>
  <c r="D17" i="18" s="1"/>
  <c r="G8" i="18" l="1"/>
  <c r="D34" i="20"/>
  <c r="M9" i="14"/>
  <c r="I18" i="18"/>
  <c r="J18" i="18"/>
  <c r="K18" i="18"/>
  <c r="L18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AB19" i="18"/>
  <c r="AC19" i="18"/>
  <c r="AD19" i="18"/>
  <c r="AE19" i="18"/>
  <c r="AA19" i="18"/>
  <c r="Z19" i="18"/>
  <c r="Y19" i="18"/>
  <c r="X19" i="18"/>
  <c r="W19" i="18"/>
  <c r="V19" i="18"/>
  <c r="U19" i="18"/>
  <c r="T19" i="18"/>
  <c r="S19" i="18"/>
  <c r="AF19" i="18"/>
  <c r="R19" i="18"/>
  <c r="Q19" i="18"/>
  <c r="P19" i="18"/>
  <c r="O19" i="18"/>
  <c r="N19" i="18"/>
  <c r="M19" i="18"/>
  <c r="L19" i="18"/>
  <c r="K19" i="18"/>
  <c r="J19" i="18"/>
  <c r="I19" i="18"/>
  <c r="H19" i="18"/>
  <c r="H18" i="18"/>
  <c r="U50" i="22"/>
  <c r="T50" i="22"/>
  <c r="S50" i="22"/>
  <c r="R50" i="22"/>
  <c r="U49" i="22"/>
  <c r="T49" i="22"/>
  <c r="S49" i="22"/>
  <c r="R49" i="22"/>
  <c r="U48" i="22"/>
  <c r="T48" i="22"/>
  <c r="S48" i="22"/>
  <c r="R48" i="22"/>
  <c r="U47" i="22"/>
  <c r="T47" i="22"/>
  <c r="S47" i="22"/>
  <c r="R47" i="22"/>
  <c r="U46" i="22"/>
  <c r="T46" i="22"/>
  <c r="S46" i="22"/>
  <c r="R46" i="22"/>
  <c r="U45" i="22"/>
  <c r="T45" i="22"/>
  <c r="S45" i="22"/>
  <c r="R45" i="22"/>
  <c r="U44" i="22"/>
  <c r="T44" i="22"/>
  <c r="S44" i="22"/>
  <c r="R44" i="22"/>
  <c r="U43" i="22"/>
  <c r="T43" i="22"/>
  <c r="S43" i="22"/>
  <c r="R43" i="22"/>
  <c r="U42" i="22"/>
  <c r="T42" i="22"/>
  <c r="S42" i="22"/>
  <c r="R42" i="22"/>
  <c r="U41" i="22"/>
  <c r="T41" i="22"/>
  <c r="S41" i="22"/>
  <c r="R41" i="22"/>
  <c r="U40" i="22"/>
  <c r="T40" i="22"/>
  <c r="S40" i="22"/>
  <c r="R40" i="22"/>
  <c r="U39" i="22"/>
  <c r="T39" i="22"/>
  <c r="S39" i="22"/>
  <c r="R39" i="22"/>
  <c r="U38" i="22"/>
  <c r="T38" i="22"/>
  <c r="S38" i="22"/>
  <c r="R38" i="22"/>
  <c r="U37" i="22"/>
  <c r="T37" i="22"/>
  <c r="S37" i="22"/>
  <c r="R37" i="22"/>
  <c r="U36" i="22"/>
  <c r="T36" i="22"/>
  <c r="S36" i="22"/>
  <c r="R36" i="22"/>
  <c r="U35" i="22"/>
  <c r="T35" i="22"/>
  <c r="S35" i="22"/>
  <c r="R35" i="22"/>
  <c r="U34" i="22"/>
  <c r="T34" i="22"/>
  <c r="S34" i="22"/>
  <c r="R34" i="22"/>
  <c r="U33" i="22"/>
  <c r="T33" i="22"/>
  <c r="S33" i="22"/>
  <c r="R33" i="22"/>
  <c r="U32" i="22"/>
  <c r="T32" i="22"/>
  <c r="S32" i="22"/>
  <c r="R32" i="22"/>
  <c r="U31" i="22"/>
  <c r="T31" i="22"/>
  <c r="S31" i="22"/>
  <c r="R31" i="22"/>
  <c r="U30" i="22"/>
  <c r="T30" i="22"/>
  <c r="S30" i="22"/>
  <c r="R30" i="22"/>
  <c r="U29" i="22"/>
  <c r="T29" i="22"/>
  <c r="S29" i="22"/>
  <c r="R29" i="22"/>
  <c r="U28" i="22"/>
  <c r="T28" i="22"/>
  <c r="S28" i="22"/>
  <c r="R28" i="22"/>
  <c r="U27" i="22"/>
  <c r="U51" i="22" s="1"/>
  <c r="T27" i="22"/>
  <c r="T51" i="22" s="1"/>
  <c r="S27" i="22"/>
  <c r="S51" i="22" s="1"/>
  <c r="R27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G51" i="10"/>
  <c r="H51" i="10"/>
  <c r="I51" i="10"/>
  <c r="K51" i="10"/>
  <c r="M51" i="10"/>
  <c r="O51" i="10"/>
  <c r="Q51" i="10"/>
  <c r="R28" i="10"/>
  <c r="S28" i="10"/>
  <c r="T28" i="10"/>
  <c r="U28" i="10"/>
  <c r="R29" i="10"/>
  <c r="S29" i="10"/>
  <c r="T29" i="10"/>
  <c r="U29" i="10"/>
  <c r="R30" i="10"/>
  <c r="S30" i="10"/>
  <c r="T30" i="10"/>
  <c r="U30" i="10"/>
  <c r="R31" i="10"/>
  <c r="S31" i="10"/>
  <c r="T31" i="10"/>
  <c r="U31" i="10"/>
  <c r="R32" i="10"/>
  <c r="S32" i="10"/>
  <c r="T32" i="10"/>
  <c r="U32" i="10"/>
  <c r="R33" i="10"/>
  <c r="S33" i="10"/>
  <c r="T33" i="10"/>
  <c r="U33" i="10"/>
  <c r="R34" i="10"/>
  <c r="S34" i="10"/>
  <c r="T34" i="10"/>
  <c r="U34" i="10"/>
  <c r="R35" i="10"/>
  <c r="S35" i="10"/>
  <c r="T35" i="10"/>
  <c r="U35" i="10"/>
  <c r="R36" i="10"/>
  <c r="S36" i="10"/>
  <c r="T36" i="10"/>
  <c r="U36" i="10"/>
  <c r="R37" i="10"/>
  <c r="S37" i="10"/>
  <c r="T37" i="10"/>
  <c r="U37" i="10"/>
  <c r="R38" i="10"/>
  <c r="S38" i="10"/>
  <c r="T38" i="10"/>
  <c r="U38" i="10"/>
  <c r="R39" i="10"/>
  <c r="S39" i="10"/>
  <c r="T39" i="10"/>
  <c r="U39" i="10"/>
  <c r="R40" i="10"/>
  <c r="S40" i="10"/>
  <c r="T40" i="10"/>
  <c r="U40" i="10"/>
  <c r="R41" i="10"/>
  <c r="S41" i="10"/>
  <c r="T41" i="10"/>
  <c r="U41" i="10"/>
  <c r="R42" i="10"/>
  <c r="S42" i="10"/>
  <c r="T42" i="10"/>
  <c r="U42" i="10"/>
  <c r="R43" i="10"/>
  <c r="S43" i="10"/>
  <c r="T43" i="10"/>
  <c r="U43" i="10"/>
  <c r="R44" i="10"/>
  <c r="S44" i="10"/>
  <c r="T44" i="10"/>
  <c r="U44" i="10"/>
  <c r="R45" i="10"/>
  <c r="S45" i="10"/>
  <c r="T45" i="10"/>
  <c r="U45" i="10"/>
  <c r="R46" i="10"/>
  <c r="S46" i="10"/>
  <c r="T46" i="10"/>
  <c r="U46" i="10"/>
  <c r="R47" i="10"/>
  <c r="S47" i="10"/>
  <c r="T47" i="10"/>
  <c r="U47" i="10"/>
  <c r="R48" i="10"/>
  <c r="S48" i="10"/>
  <c r="T48" i="10"/>
  <c r="U48" i="10"/>
  <c r="R49" i="10"/>
  <c r="S49" i="10"/>
  <c r="T49" i="10"/>
  <c r="U49" i="10"/>
  <c r="R50" i="10"/>
  <c r="S50" i="10"/>
  <c r="T50" i="10"/>
  <c r="U50" i="10"/>
  <c r="T27" i="10"/>
  <c r="S27" i="10"/>
  <c r="G12" i="20"/>
  <c r="J1" i="7"/>
  <c r="I1" i="14"/>
  <c r="J1" i="22"/>
  <c r="J1" i="10"/>
  <c r="L1" i="20"/>
  <c r="B1" i="7"/>
  <c r="D1" i="7" s="1"/>
  <c r="B1" i="14"/>
  <c r="D1" i="14" s="1"/>
  <c r="B1" i="22"/>
  <c r="A30" i="22" s="1"/>
  <c r="B1" i="10"/>
  <c r="D1" i="10" s="1"/>
  <c r="B1" i="20"/>
  <c r="H16" i="18"/>
  <c r="E9" i="18"/>
  <c r="E10" i="18"/>
  <c r="G10" i="18" s="1"/>
  <c r="E11" i="18"/>
  <c r="G11" i="18" s="1"/>
  <c r="E12" i="18"/>
  <c r="G12" i="18" s="1"/>
  <c r="E13" i="18"/>
  <c r="G13" i="18" s="1"/>
  <c r="E14" i="18"/>
  <c r="G14" i="18" s="1"/>
  <c r="E15" i="18"/>
  <c r="G15" i="18" s="1"/>
  <c r="G22" i="22"/>
  <c r="I30" i="23" s="1"/>
  <c r="G18" i="22"/>
  <c r="K18" i="22" s="1"/>
  <c r="G14" i="22"/>
  <c r="K14" i="22" s="1"/>
  <c r="G23" i="20"/>
  <c r="G22" i="20"/>
  <c r="G21" i="20"/>
  <c r="C30" i="23" s="1"/>
  <c r="G19" i="20"/>
  <c r="G18" i="20"/>
  <c r="G17" i="20"/>
  <c r="K17" i="20" s="1"/>
  <c r="G15" i="20"/>
  <c r="G14" i="20"/>
  <c r="G13" i="20"/>
  <c r="K13" i="20" s="1"/>
  <c r="R31" i="20"/>
  <c r="S31" i="20"/>
  <c r="T31" i="20"/>
  <c r="U31" i="20"/>
  <c r="Q32" i="20"/>
  <c r="P32" i="20"/>
  <c r="O32" i="20"/>
  <c r="N32" i="20"/>
  <c r="M32" i="20"/>
  <c r="L32" i="20"/>
  <c r="K32" i="20"/>
  <c r="J32" i="20"/>
  <c r="I32" i="20"/>
  <c r="G32" i="20"/>
  <c r="H32" i="20"/>
  <c r="F32" i="20"/>
  <c r="S51" i="10" l="1"/>
  <c r="T51" i="10"/>
  <c r="L9" i="14" s="1"/>
  <c r="H33" i="20"/>
  <c r="E9" i="14"/>
  <c r="E16" i="18"/>
  <c r="G16" i="18" s="1"/>
  <c r="G9" i="18"/>
  <c r="E11" i="14"/>
  <c r="A31" i="20"/>
  <c r="A30" i="20"/>
  <c r="AG18" i="18"/>
  <c r="A33" i="22"/>
  <c r="R51" i="22"/>
  <c r="T52" i="22" s="1"/>
  <c r="H52" i="22"/>
  <c r="T32" i="20"/>
  <c r="R32" i="20"/>
  <c r="AG20" i="18"/>
  <c r="AG19" i="18"/>
  <c r="A36" i="22"/>
  <c r="A38" i="22"/>
  <c r="A46" i="22"/>
  <c r="D1" i="22"/>
  <c r="A49" i="22"/>
  <c r="A28" i="22"/>
  <c r="A51" i="22"/>
  <c r="A41" i="22"/>
  <c r="A44" i="22"/>
  <c r="A34" i="22"/>
  <c r="A42" i="22"/>
  <c r="A50" i="22"/>
  <c r="A29" i="22"/>
  <c r="A37" i="22"/>
  <c r="A45" i="22"/>
  <c r="A31" i="22"/>
  <c r="A39" i="22"/>
  <c r="A47" i="22"/>
  <c r="A32" i="22"/>
  <c r="A40" i="22"/>
  <c r="A48" i="22"/>
  <c r="A27" i="22"/>
  <c r="A35" i="22"/>
  <c r="A43" i="22"/>
  <c r="U32" i="20"/>
  <c r="S32" i="20"/>
  <c r="F1" i="20"/>
  <c r="A32" i="20"/>
  <c r="T33" i="20" l="1"/>
  <c r="F34" i="20"/>
  <c r="F53" i="22"/>
  <c r="G21" i="10"/>
  <c r="H30" i="23" s="1"/>
  <c r="G17" i="10"/>
  <c r="K17" i="10" s="1"/>
  <c r="G13" i="10"/>
  <c r="K13" i="10" s="1"/>
  <c r="A18" i="18"/>
  <c r="A17" i="18"/>
  <c r="AF17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H17" i="18"/>
  <c r="A16" i="18"/>
  <c r="A15" i="18"/>
  <c r="A14" i="18"/>
  <c r="A13" i="18"/>
  <c r="A12" i="18"/>
  <c r="A11" i="18"/>
  <c r="A10" i="18"/>
  <c r="A9" i="18"/>
  <c r="A8" i="18"/>
  <c r="D1" i="18"/>
  <c r="AG17" i="18" l="1"/>
  <c r="F51" i="10" l="1"/>
  <c r="H52" i="10" s="1"/>
  <c r="F53" i="10" s="1"/>
  <c r="E51" i="10"/>
  <c r="B18" i="18" l="1"/>
  <c r="U27" i="10"/>
  <c r="U51" i="10" s="1"/>
  <c r="J9" i="14" s="1"/>
  <c r="R27" i="10"/>
  <c r="R51" i="10" l="1"/>
  <c r="K9" i="14" l="1"/>
  <c r="I9" i="14" s="1"/>
  <c r="T52" i="10"/>
  <c r="A49" i="10"/>
  <c r="A50" i="10"/>
  <c r="A12" i="7"/>
  <c r="B12" i="7" s="1"/>
  <c r="I11" i="14" l="1"/>
  <c r="A9" i="14"/>
  <c r="A51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27" i="10"/>
</calcChain>
</file>

<file path=xl/sharedStrings.xml><?xml version="1.0" encoding="utf-8"?>
<sst xmlns="http://schemas.openxmlformats.org/spreadsheetml/2006/main" count="467" uniqueCount="251">
  <si>
    <t>№ п/п</t>
  </si>
  <si>
    <t>Предмет</t>
  </si>
  <si>
    <t>Кол-во победителей (чел.)</t>
  </si>
  <si>
    <t>Кол-во призеров (чел.)</t>
  </si>
  <si>
    <t>Русский язык</t>
  </si>
  <si>
    <t>Литература</t>
  </si>
  <si>
    <t>Физика</t>
  </si>
  <si>
    <t>Химия</t>
  </si>
  <si>
    <t>Биология</t>
  </si>
  <si>
    <t>География</t>
  </si>
  <si>
    <t>История</t>
  </si>
  <si>
    <t>Обществознание</t>
  </si>
  <si>
    <t>Право</t>
  </si>
  <si>
    <t>Английский язык</t>
  </si>
  <si>
    <t>Французский язык</t>
  </si>
  <si>
    <t>Физическая культура</t>
  </si>
  <si>
    <t>Технология</t>
  </si>
  <si>
    <t>Экология</t>
  </si>
  <si>
    <t>Экономика</t>
  </si>
  <si>
    <t>Астрономия</t>
  </si>
  <si>
    <t>Математика</t>
  </si>
  <si>
    <t>Немецкий язык</t>
  </si>
  <si>
    <t>Количество обучающихся в данной параллели по МО (чел.)</t>
  </si>
  <si>
    <t>Доля участников от общего числа обучающихся в данной параллели (%)</t>
  </si>
  <si>
    <t>только по одному предмету</t>
  </si>
  <si>
    <t xml:space="preserve"> по 2 предметам</t>
  </si>
  <si>
    <t xml:space="preserve"> по 3 предметам</t>
  </si>
  <si>
    <t xml:space="preserve"> по 4 предметам</t>
  </si>
  <si>
    <t xml:space="preserve"> по 5 предметам</t>
  </si>
  <si>
    <t xml:space="preserve"> по 6 предметам</t>
  </si>
  <si>
    <t xml:space="preserve"> по 7 предметам</t>
  </si>
  <si>
    <t xml:space="preserve"> по 8 предметам</t>
  </si>
  <si>
    <t xml:space="preserve"> по 9 предметам</t>
  </si>
  <si>
    <t xml:space="preserve"> по 10 предметам</t>
  </si>
  <si>
    <t xml:space="preserve"> по 11 предметам</t>
  </si>
  <si>
    <t xml:space="preserve"> по 12 предметам</t>
  </si>
  <si>
    <t xml:space="preserve"> по 13 предметам</t>
  </si>
  <si>
    <t xml:space="preserve"> по 14 предметам</t>
  </si>
  <si>
    <t xml:space="preserve"> по 15 предметам</t>
  </si>
  <si>
    <t xml:space="preserve"> по 16 предметам</t>
  </si>
  <si>
    <t xml:space="preserve"> по 17 предметам</t>
  </si>
  <si>
    <t>5 - е</t>
  </si>
  <si>
    <t>6 - е</t>
  </si>
  <si>
    <t>7 - е</t>
  </si>
  <si>
    <t>8 - е</t>
  </si>
  <si>
    <t>9 - е</t>
  </si>
  <si>
    <t>10 - е</t>
  </si>
  <si>
    <t>11 - е</t>
  </si>
  <si>
    <t>Итого</t>
  </si>
  <si>
    <t xml:space="preserve"> по 18 предметам</t>
  </si>
  <si>
    <t xml:space="preserve"> по 19 предметам</t>
  </si>
  <si>
    <t xml:space="preserve"> по 20 предметам</t>
  </si>
  <si>
    <t xml:space="preserve"> по 21 предмету</t>
  </si>
  <si>
    <t xml:space="preserve"> …..</t>
  </si>
  <si>
    <t>4 - е</t>
  </si>
  <si>
    <t>Испанский язык</t>
  </si>
  <si>
    <t>Победителей и призеров всего</t>
  </si>
  <si>
    <t>ЧИСЛО участий</t>
  </si>
  <si>
    <t>Информатика (ИКТ)</t>
  </si>
  <si>
    <t>Искусство (Мировая художественная культура)</t>
  </si>
  <si>
    <t>Основы безопасности и жизнедеятельности</t>
  </si>
  <si>
    <t xml:space="preserve">Количество независимых наблюдателей </t>
  </si>
  <si>
    <t>предмет</t>
  </si>
  <si>
    <t>село</t>
  </si>
  <si>
    <t>город</t>
  </si>
  <si>
    <t>Класс</t>
  </si>
  <si>
    <t>чел.</t>
  </si>
  <si>
    <t>в том числе количество обучающихся:</t>
  </si>
  <si>
    <t>итого</t>
  </si>
  <si>
    <t>принявших участие в олимпиаде за более старшие классы</t>
  </si>
  <si>
    <t>ИТОГО</t>
  </si>
  <si>
    <t>код МСУ</t>
  </si>
  <si>
    <t>(ввести трехзначный код)</t>
  </si>
  <si>
    <t>автом.</t>
  </si>
  <si>
    <t>служебное поле</t>
  </si>
  <si>
    <t>служ.поле</t>
  </si>
  <si>
    <t>Код</t>
  </si>
  <si>
    <t>Наименование АТЕ</t>
  </si>
  <si>
    <t>Вышневолоцкий городской округ</t>
  </si>
  <si>
    <t>г. Кимры</t>
  </si>
  <si>
    <t>г. Ржев</t>
  </si>
  <si>
    <t>г.Тверь</t>
  </si>
  <si>
    <t>г. Торжок</t>
  </si>
  <si>
    <t>Андреапольский муниципальный округ</t>
  </si>
  <si>
    <t>Бежецкий район</t>
  </si>
  <si>
    <t>Бельский район</t>
  </si>
  <si>
    <t>Бологовский район</t>
  </si>
  <si>
    <t>Весьегонский муниципальный округ</t>
  </si>
  <si>
    <t>Жарковский район</t>
  </si>
  <si>
    <t>Западнодвинский муниципальный округ</t>
  </si>
  <si>
    <t>Зубцовский район</t>
  </si>
  <si>
    <t>Калининский район</t>
  </si>
  <si>
    <t>Калязинский район</t>
  </si>
  <si>
    <t>Кашинский городской округ</t>
  </si>
  <si>
    <t>Кимрский район</t>
  </si>
  <si>
    <t>Конаковский район</t>
  </si>
  <si>
    <t>Краснохолмский муниципальный округ</t>
  </si>
  <si>
    <t>Кувшиновский район</t>
  </si>
  <si>
    <t>Лесной муниципальный округ</t>
  </si>
  <si>
    <t>Максатихинский район</t>
  </si>
  <si>
    <t>Нелидовский городской округ</t>
  </si>
  <si>
    <t>Оленинский муниципальный округ</t>
  </si>
  <si>
    <t>Осташковский городской округ</t>
  </si>
  <si>
    <t>Пеновский муниципальный округ</t>
  </si>
  <si>
    <t>Ржевский район</t>
  </si>
  <si>
    <t>Сандовский муниципальный округ</t>
  </si>
  <si>
    <t>Селижаровский муниципальный округ</t>
  </si>
  <si>
    <t>Сонковский район</t>
  </si>
  <si>
    <t>Старицкий район</t>
  </si>
  <si>
    <t>Торжокский район</t>
  </si>
  <si>
    <t>Торопецкий район</t>
  </si>
  <si>
    <t>Удомельский городской округ</t>
  </si>
  <si>
    <t>Фировский район</t>
  </si>
  <si>
    <t>ЗАТО  Озерный</t>
  </si>
  <si>
    <t>ЗАТО Солнечный</t>
  </si>
  <si>
    <t>Тверской педагогический колледж</t>
  </si>
  <si>
    <t>yt</t>
  </si>
  <si>
    <t>контроль по листам 1 и 3</t>
  </si>
  <si>
    <t>в 4 классе ----------------&gt;</t>
  </si>
  <si>
    <t>да</t>
  </si>
  <si>
    <t>нет</t>
  </si>
  <si>
    <t>ИТОГО/процент участия ОО</t>
  </si>
  <si>
    <t>школьный этап</t>
  </si>
  <si>
    <t>муниципальный этап</t>
  </si>
  <si>
    <t>региональный этап</t>
  </si>
  <si>
    <t>На некоторых листах включен контроль корректности сквозного заполнения форм на всех листах</t>
  </si>
  <si>
    <t>После заполнения всех полей следует просмотреть листы на наличие подсказок о правильности или ошибках</t>
  </si>
  <si>
    <t>Краткая инструкция по заполнению</t>
  </si>
  <si>
    <t>Примечание:</t>
  </si>
  <si>
    <t>НЕ менять название Листов, текста в "шапках" и столбцах таблиц</t>
  </si>
  <si>
    <t>Комментарии проверок Вас сориентируют на предмет номеров листов, где есть ошибки; исправления этих ошибок рекомендуем  вносить от меньшего листа к большему по номеру</t>
  </si>
  <si>
    <t>Ячейки, котрые закрыты для внесения информации,  НЕ надо открывать, т.к. это сделано для снижения объемов внесения информции и возможности переноса одной и той же статистики по всем формам</t>
  </si>
  <si>
    <t>Наименование
МО</t>
  </si>
  <si>
    <t xml:space="preserve">Наличие Регламента/Порядка проведения Олимпиады в ОО </t>
  </si>
  <si>
    <t>Наличие приказа о проведении Олимпиады в ОО</t>
  </si>
  <si>
    <t>Наличие общественных/ независимых наблюдателей</t>
  </si>
  <si>
    <t>Наличие апелляций о нарушении процедуры проведения Олимпиады в ОО</t>
  </si>
  <si>
    <t xml:space="preserve"> Наличие апелляций о несогласии с результатами оценивания олимпиадной работы</t>
  </si>
  <si>
    <t>количество ОО</t>
  </si>
  <si>
    <t>при проведении Олимпиады</t>
  </si>
  <si>
    <t>при проверке олимпиадных работ</t>
  </si>
  <si>
    <t>в том числе были удовлетворены</t>
  </si>
  <si>
    <t xml:space="preserve">в том числе апелляции, по результатам которых в оценивание  ответов были  внесены изменения </t>
  </si>
  <si>
    <t>охват предметов -  100% (по каждому предмету, по которому проводилась Олимпиада в ОО)</t>
  </si>
  <si>
    <t>частичный охват</t>
  </si>
  <si>
    <t>охват предметов -  100%</t>
  </si>
  <si>
    <t xml:space="preserve">количество </t>
  </si>
  <si>
    <t>кол-во ОО</t>
  </si>
  <si>
    <t>последовательность не менять!</t>
  </si>
  <si>
    <t>выбор из списка</t>
  </si>
  <si>
    <t>не было наблюдателей</t>
  </si>
  <si>
    <t>ФИО исполнителя (полностью)</t>
  </si>
  <si>
    <t>контактный телефон (моб.тел.)</t>
  </si>
  <si>
    <t>Общее количество общеобразовательных организаций в МО</t>
  </si>
  <si>
    <t>Кол-во ОО, принявших участие в Олимпиаде</t>
  </si>
  <si>
    <t>Итальянский язык</t>
  </si>
  <si>
    <t>Китайский язык</t>
  </si>
  <si>
    <t>Кол-во ОО, участвовавших в Олимпиаде</t>
  </si>
  <si>
    <t xml:space="preserve"> по 22 предметам</t>
  </si>
  <si>
    <t xml:space="preserve"> по 23 предметам</t>
  </si>
  <si>
    <t xml:space="preserve"> по 24 предметам</t>
  </si>
  <si>
    <r>
      <t xml:space="preserve">В том числе участвовали в олимпиаде </t>
    </r>
    <r>
      <rPr>
        <i/>
        <sz val="12"/>
        <color theme="1"/>
        <rFont val="Times New Roman"/>
        <family val="1"/>
        <charset val="204"/>
      </rPr>
      <t>(чел.)*</t>
    </r>
  </si>
  <si>
    <t>*-Обучающийся, принявший участие в Олимпиаде по нескольким предметам, учитывается 1 раз</t>
  </si>
  <si>
    <t>Количество апелляций / предметы</t>
  </si>
  <si>
    <t>в 10-11 классах ------------&gt;</t>
  </si>
  <si>
    <t>всего</t>
  </si>
  <si>
    <t>Кол-во участников Олимпиады (чел.)</t>
  </si>
  <si>
    <t>в т.ч. ОВЗ и детей-инвалидов</t>
  </si>
  <si>
    <t>Степень участия обучающихся в предметах Олимпиады</t>
  </si>
  <si>
    <t>в том числе ОО, участвовавших в олимпиаде --------&gt;</t>
  </si>
  <si>
    <t>Кесовогорский муниципальный округ</t>
  </si>
  <si>
    <t>Лихославльский муниципальный округ</t>
  </si>
  <si>
    <t>Молоковский муниципальный округ</t>
  </si>
  <si>
    <t>Рамешковский муниципальный округ</t>
  </si>
  <si>
    <t>Спировский муниципальный округ</t>
  </si>
  <si>
    <t>Кол-во участников Олимпиады 5-9 классы, чел.</t>
  </si>
  <si>
    <t>принявших участие в нескольких олимпиадах:</t>
  </si>
  <si>
    <r>
      <t xml:space="preserve">Количественные данные о проведении Олимпиады в </t>
    </r>
    <r>
      <rPr>
        <b/>
        <sz val="14"/>
        <color rgb="FFFF0000"/>
        <rFont val="Times New Roman"/>
        <family val="1"/>
        <charset val="204"/>
      </rPr>
      <t>5-9 классах</t>
    </r>
    <r>
      <rPr>
        <b/>
        <sz val="14"/>
        <color theme="1"/>
        <rFont val="Times New Roman"/>
        <family val="1"/>
        <charset val="204"/>
      </rPr>
      <t xml:space="preserve"> (</t>
    </r>
    <r>
      <rPr>
        <b/>
        <sz val="14"/>
        <color rgb="FFFF0000"/>
        <rFont val="Times New Roman"/>
        <family val="1"/>
        <charset val="204"/>
      </rPr>
      <t>основное общее образование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</si>
  <si>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Количественные данные о проведении Олимпиады в </t>
    </r>
    <r>
      <rPr>
        <b/>
        <sz val="14"/>
        <color rgb="FFFF0000"/>
        <rFont val="Times New Roman"/>
        <family val="1"/>
        <charset val="204"/>
      </rPr>
      <t>10-11 классах (среднее общее образование</t>
    </r>
    <r>
      <rPr>
        <b/>
        <sz val="14"/>
        <color theme="1"/>
        <rFont val="Times New Roman"/>
        <family val="1"/>
        <charset val="204"/>
      </rPr>
      <t>)</t>
    </r>
  </si>
  <si>
    <t>Кол-во участников Олимпиады 10-11  классы, чел.</t>
  </si>
  <si>
    <t>Количественные данные об участниках Олимпиады школьников</t>
  </si>
  <si>
    <t>общее кол-во обучающихся в 5-11 классах</t>
  </si>
  <si>
    <t xml:space="preserve"> город (с учетом ОВЗ  и инв.)</t>
  </si>
  <si>
    <t>село (с учетом ОВЗ  и инв.)</t>
  </si>
  <si>
    <t>участников с ОВЗ и детей-инвалидов</t>
  </si>
  <si>
    <t>11-автом</t>
  </si>
  <si>
    <t>22-автом</t>
  </si>
  <si>
    <t>33-автом</t>
  </si>
  <si>
    <t xml:space="preserve"> сумма столбцов 22 и 33: 22+33</t>
  </si>
  <si>
    <t>сумма: 22+33</t>
  </si>
  <si>
    <t xml:space="preserve">Объективность проведения  ВсОШ </t>
  </si>
  <si>
    <t>Заполнение проводится последовательно от листа 1 к листу 5</t>
  </si>
  <si>
    <r>
      <t xml:space="preserve">Общее количество общеобразовательных организаций, </t>
    </r>
    <r>
      <rPr>
        <sz val="12"/>
        <color rgb="FFFF0000"/>
        <rFont val="Times New Roman"/>
        <family val="1"/>
        <charset val="204"/>
      </rPr>
      <t>где есть 1-4 классы</t>
    </r>
    <r>
      <rPr>
        <sz val="12"/>
        <color theme="1"/>
        <rFont val="Times New Roman"/>
        <family val="1"/>
        <charset val="204"/>
      </rPr>
      <t>, в МО</t>
    </r>
  </si>
  <si>
    <t>в 4 классе ---------------------------&gt;</t>
  </si>
  <si>
    <t>принявших участие в нескольких олимпиадах</t>
  </si>
  <si>
    <t>в том числе ОО, участвовавших в олимпиаде -----------&gt;</t>
  </si>
  <si>
    <t>контроль по листам 1 и 2 ------------------------&gt;</t>
  </si>
  <si>
    <t xml:space="preserve">контроль по листам 1 и 2 </t>
  </si>
  <si>
    <r>
      <t xml:space="preserve">Общее количество общеобразовательных организаций, </t>
    </r>
    <r>
      <rPr>
        <sz val="12"/>
        <color rgb="FFFF0000"/>
        <rFont val="Times New Roman"/>
        <family val="1"/>
        <charset val="204"/>
      </rPr>
      <t>где есть 5-9 классы</t>
    </r>
    <r>
      <rPr>
        <sz val="12"/>
        <color theme="1"/>
        <rFont val="Times New Roman"/>
        <family val="1"/>
        <charset val="204"/>
      </rPr>
      <t>, в МО</t>
    </r>
  </si>
  <si>
    <r>
      <t>Количественные данные о проведении Олимпиады в 4 к</t>
    </r>
    <r>
      <rPr>
        <b/>
        <sz val="14"/>
        <color rgb="FFFF0000"/>
        <rFont val="Times New Roman"/>
        <family val="1"/>
        <charset val="204"/>
      </rPr>
      <t>лассах</t>
    </r>
    <r>
      <rPr>
        <b/>
        <sz val="14"/>
        <color theme="1"/>
        <rFont val="Times New Roman"/>
        <family val="1"/>
        <charset val="204"/>
      </rPr>
      <t xml:space="preserve"> (</t>
    </r>
    <r>
      <rPr>
        <b/>
        <sz val="14"/>
        <color rgb="FFFF0000"/>
        <rFont val="Times New Roman"/>
        <family val="1"/>
        <charset val="204"/>
      </rPr>
      <t>начальное общее образование</t>
    </r>
    <r>
      <rPr>
        <b/>
        <sz val="14"/>
        <color theme="1"/>
        <rFont val="Times New Roman"/>
        <family val="1"/>
        <charset val="204"/>
      </rPr>
      <t>)</t>
    </r>
  </si>
  <si>
    <t>в 5-9 классах --------------------------------&gt;</t>
  </si>
  <si>
    <t>в 5-9 классах -----------------------------------&gt;</t>
  </si>
  <si>
    <t>в 5-9 классах ---------------------------------&gt;</t>
  </si>
  <si>
    <t>контроль по листам 1 и 3 ----&gt;</t>
  </si>
  <si>
    <t>Количество обучающихся, принимавших участие в  этапе Олимпиады (чел.)</t>
  </si>
  <si>
    <t>ЧИСЛО участий_4класс</t>
  </si>
  <si>
    <t>ЧИСЛО участий_5-9кл</t>
  </si>
  <si>
    <t>ЧИСЛО участий_10_11кл.</t>
  </si>
  <si>
    <t>внести</t>
  </si>
  <si>
    <t>в т.ч. кол-во ОО, принявших участие в Олимпиаде</t>
  </si>
  <si>
    <t>контроль</t>
  </si>
  <si>
    <t>3-автом</t>
  </si>
  <si>
    <t>4-автом</t>
  </si>
  <si>
    <r>
      <t xml:space="preserve">Победителей и призеров (подсчет по чел.) - учет один раз </t>
    </r>
    <r>
      <rPr>
        <sz val="11"/>
        <color rgb="FFFF0000"/>
        <rFont val="Calibri"/>
        <family val="2"/>
        <charset val="204"/>
        <scheme val="minor"/>
      </rPr>
      <t>(**Обучающийся, являющийся победителем или призером по нескольким предметам,  учитывается 1 раз)</t>
    </r>
  </si>
  <si>
    <t xml:space="preserve">Победителей и призеров (по участиям) </t>
  </si>
  <si>
    <r>
      <t>Участники</t>
    </r>
    <r>
      <rPr>
        <b/>
        <sz val="11"/>
        <color theme="1"/>
        <rFont val="Calibri"/>
        <family val="2"/>
        <charset val="204"/>
        <scheme val="minor"/>
      </rPr>
      <t xml:space="preserve"> 5-11 класс </t>
    </r>
    <r>
      <rPr>
        <sz val="11"/>
        <color theme="1"/>
        <rFont val="Calibri"/>
        <family val="2"/>
        <charset val="204"/>
        <scheme val="minor"/>
      </rPr>
      <t xml:space="preserve">по категориям (подсчет по чел.) - учет один раз </t>
    </r>
    <r>
      <rPr>
        <sz val="11"/>
        <color rgb="FFFF0000"/>
        <rFont val="Calibri"/>
        <family val="2"/>
        <charset val="204"/>
        <scheme val="minor"/>
      </rPr>
      <t>(*Обучающийся, принявший участие в данном этапе олимпиады по нескольким предметам, учитывается 1 раз)</t>
    </r>
  </si>
  <si>
    <t>4 класс (чел.)</t>
  </si>
  <si>
    <t>5 класс (чел.)</t>
  </si>
  <si>
    <t>6 класс (чел.)</t>
  </si>
  <si>
    <t>7 класс (чел.)</t>
  </si>
  <si>
    <t>8 класс (чел.)</t>
  </si>
  <si>
    <t>9 класс (чел.)</t>
  </si>
  <si>
    <t>10 класс (чел.)</t>
  </si>
  <si>
    <t xml:space="preserve">Информатика </t>
  </si>
  <si>
    <t>Искусство (мировая художественная культура)</t>
  </si>
  <si>
    <t>Основы безопасности жизнедеятельности</t>
  </si>
  <si>
    <t>Всего</t>
  </si>
  <si>
    <t>Количественные данные об участниках олимпиады, выполнявших на школьном этапе всероссийской олимпиады школьников  задания для более старших классов по отношению к тем, в которых они проходят обучение
Тверская область
 ____________________________________________________________________
наименование субъекта Российской Федерации</t>
  </si>
  <si>
    <r>
      <rPr>
        <sz val="11"/>
        <rFont val="Times New Roman"/>
        <family val="1"/>
        <charset val="204"/>
      </rPr>
      <t>Всего Обучающихся* из 4-х классов, принявших участие в Олимпиаде по математике и русскому языку, чел</t>
    </r>
    <r>
      <rPr>
        <sz val="11"/>
        <color rgb="FFFF0000"/>
        <rFont val="Times New Roman"/>
        <family val="1"/>
        <charset val="204"/>
      </rPr>
      <t>. (*УЧИТЫВАЮТСЯ один раз!!!)</t>
    </r>
  </si>
  <si>
    <t>контроль по листам 1 и 2+3</t>
  </si>
  <si>
    <t>город (с учетом ОВЗ и инвалидов)</t>
  </si>
  <si>
    <t>село (с учетом ОВЗ и инвалидов)</t>
  </si>
  <si>
    <t>ОВЗ, чел</t>
  </si>
  <si>
    <r>
      <t xml:space="preserve">Общее количество общеобразовательных организаций, </t>
    </r>
    <r>
      <rPr>
        <sz val="12"/>
        <color rgb="FFFF0000"/>
        <rFont val="Times New Roman"/>
        <family val="1"/>
        <charset val="204"/>
      </rPr>
      <t>где есть 10-11 классы</t>
    </r>
    <r>
      <rPr>
        <sz val="12"/>
        <color theme="1"/>
        <rFont val="Times New Roman"/>
        <family val="1"/>
        <charset val="204"/>
      </rPr>
      <t>, в МО</t>
    </r>
  </si>
  <si>
    <t>проверка -----&gt;</t>
  </si>
  <si>
    <t>Кол-во участников: сумма столбцов 2 и 3: 2+3</t>
  </si>
  <si>
    <t>в 1-3 классах -----------&gt;</t>
  </si>
  <si>
    <t>в 4 классе ---------------&gt;</t>
  </si>
  <si>
    <t>в том числе об-ся с ОВЗ и дети-инвалиды, чел</t>
  </si>
  <si>
    <t>Большинство форм "берет" информацию из 1 таблицы, которая для Вас привычна, Эту форму заполнять надо наиболее тщательно.</t>
  </si>
  <si>
    <t>Формы 1,2,3,4 разработаны сотрудником РЦОИ, технические вопросы относятся к компетенции Галины Леонидовны Чекановой, (4822)431504</t>
  </si>
  <si>
    <t>Форма 5 не имеет отношения к  Г.Л.Чекановой. По ее заполнению сотрудник РЦОИ консультаций не даст.</t>
  </si>
  <si>
    <t>внести11</t>
  </si>
  <si>
    <t>мсу</t>
  </si>
  <si>
    <t>контроль листа 3 и Прил---------&gt;</t>
  </si>
  <si>
    <t>контроль листа 2 и Прил---------&gt;</t>
  </si>
  <si>
    <t>Приложение к Формам 2/3</t>
  </si>
  <si>
    <t xml:space="preserve">Финагина </t>
  </si>
  <si>
    <t>Галина</t>
  </si>
  <si>
    <t xml:space="preserve"> </t>
  </si>
  <si>
    <t xml:space="preserve">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</si>
</sst>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309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7" borderId="5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3" fillId="9" borderId="5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15" fillId="8" borderId="4" xfId="0" applyFont="1" applyFill="1" applyBorder="1" applyAlignment="1" applyProtection="1">
      <alignment horizontal="center"/>
      <protection locked="0"/>
    </xf>
    <xf numFmtId="0" fontId="21" fillId="0" borderId="1" xfId="0" applyNumberFormat="1" applyFont="1" applyFill="1" applyBorder="1" applyAlignment="1" applyProtection="1">
      <alignment horizontal="righ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righ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Continuous" vertical="top" wrapText="1"/>
      <protection locked="0"/>
    </xf>
    <xf numFmtId="0" fontId="26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top" wrapText="1"/>
    </xf>
    <xf numFmtId="0" fontId="0" fillId="7" borderId="4" xfId="0" applyFill="1" applyBorder="1" applyAlignment="1">
      <alignment horizontal="right" vertical="center"/>
    </xf>
    <xf numFmtId="0" fontId="0" fillId="7" borderId="4" xfId="0" applyFill="1" applyBorder="1" applyAlignment="1">
      <alignment horizontal="left" vertical="top" wrapText="1"/>
    </xf>
    <xf numFmtId="0" fontId="0" fillId="0" borderId="0" xfId="0" applyFill="1" applyProtection="1">
      <protection locked="0"/>
    </xf>
    <xf numFmtId="0" fontId="13" fillId="0" borderId="0" xfId="0" applyFont="1" applyProtection="1"/>
    <xf numFmtId="0" fontId="1" fillId="0" borderId="4" xfId="0" applyFont="1" applyBorder="1" applyAlignment="1" applyProtection="1">
      <alignment horizontal="centerContinuous" wrapText="1"/>
    </xf>
    <xf numFmtId="0" fontId="1" fillId="0" borderId="4" xfId="0" applyFont="1" applyBorder="1" applyAlignment="1" applyProtection="1">
      <alignment horizontal="centerContinuous"/>
    </xf>
    <xf numFmtId="0" fontId="4" fillId="0" borderId="0" xfId="0" applyFont="1" applyAlignment="1" applyProtection="1">
      <alignment horizontal="centerContinuous" wrapText="1"/>
    </xf>
    <xf numFmtId="0" fontId="0" fillId="0" borderId="0" xfId="0" applyProtection="1"/>
    <xf numFmtId="0" fontId="2" fillId="0" borderId="1" xfId="0" applyFont="1" applyBorder="1" applyAlignment="1" applyProtection="1">
      <alignment horizontal="centerContinuous"/>
    </xf>
    <xf numFmtId="0" fontId="1" fillId="0" borderId="1" xfId="0" applyFont="1" applyBorder="1" applyAlignment="1" applyProtection="1">
      <alignment horizontal="center" vertical="center" textRotation="90" wrapText="1"/>
    </xf>
    <xf numFmtId="0" fontId="17" fillId="10" borderId="3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1" fillId="10" borderId="0" xfId="0" applyFont="1" applyFill="1" applyBorder="1" applyProtection="1"/>
    <xf numFmtId="0" fontId="0" fillId="5" borderId="1" xfId="0" applyFill="1" applyBorder="1" applyProtection="1"/>
    <xf numFmtId="0" fontId="2" fillId="6" borderId="0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10" borderId="1" xfId="0" applyFont="1" applyFill="1" applyBorder="1" applyAlignment="1" applyProtection="1">
      <alignment vertical="center" wrapText="1"/>
    </xf>
    <xf numFmtId="0" fontId="1" fillId="0" borderId="0" xfId="0" applyFont="1" applyProtection="1"/>
    <xf numFmtId="0" fontId="7" fillId="0" borderId="0" xfId="0" applyFont="1" applyFill="1" applyProtection="1"/>
    <xf numFmtId="0" fontId="1" fillId="0" borderId="0" xfId="0" applyFont="1" applyFill="1" applyBorder="1" applyProtection="1"/>
    <xf numFmtId="0" fontId="24" fillId="3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Continuous" vertical="center" wrapText="1"/>
    </xf>
    <xf numFmtId="0" fontId="1" fillId="0" borderId="1" xfId="0" applyFont="1" applyBorder="1" applyAlignment="1" applyProtection="1">
      <alignment horizontal="centerContinuous"/>
    </xf>
    <xf numFmtId="0" fontId="1" fillId="0" borderId="2" xfId="0" applyFont="1" applyBorder="1" applyAlignment="1" applyProtection="1">
      <alignment horizontal="center" vertical="center" wrapText="1"/>
    </xf>
    <xf numFmtId="0" fontId="11" fillId="10" borderId="1" xfId="0" applyFont="1" applyFill="1" applyBorder="1" applyAlignment="1" applyProtection="1">
      <alignment vertical="top" wrapText="1"/>
    </xf>
    <xf numFmtId="0" fontId="27" fillId="1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1" fillId="10" borderId="1" xfId="0" applyFont="1" applyFill="1" applyBorder="1" applyAlignment="1" applyProtection="1">
      <alignment wrapText="1"/>
    </xf>
    <xf numFmtId="0" fontId="2" fillId="0" borderId="0" xfId="0" applyFont="1" applyFill="1" applyProtection="1"/>
    <xf numFmtId="0" fontId="6" fillId="0" borderId="0" xfId="0" applyFont="1" applyProtection="1"/>
    <xf numFmtId="0" fontId="15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3" fillId="0" borderId="0" xfId="0" applyFont="1" applyProtection="1"/>
    <xf numFmtId="0" fontId="1" fillId="0" borderId="9" xfId="0" applyFont="1" applyBorder="1" applyAlignment="1" applyProtection="1">
      <alignment horizontal="left" vertical="center"/>
    </xf>
    <xf numFmtId="0" fontId="1" fillId="10" borderId="1" xfId="0" applyFont="1" applyFill="1" applyBorder="1" applyProtection="1"/>
    <xf numFmtId="0" fontId="1" fillId="0" borderId="5" xfId="0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right" vertical="center"/>
    </xf>
    <xf numFmtId="0" fontId="19" fillId="0" borderId="1" xfId="0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2" fontId="16" fillId="3" borderId="1" xfId="0" applyNumberFormat="1" applyFont="1" applyFill="1" applyBorder="1" applyAlignment="1" applyProtection="1">
      <alignment horizontal="center"/>
    </xf>
    <xf numFmtId="0" fontId="16" fillId="3" borderId="1" xfId="0" applyFont="1" applyFill="1" applyBorder="1" applyAlignment="1" applyProtection="1">
      <alignment horizontal="center"/>
    </xf>
    <xf numFmtId="0" fontId="16" fillId="6" borderId="1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24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top" wrapText="1"/>
    </xf>
    <xf numFmtId="0" fontId="17" fillId="10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4" fillId="0" borderId="0" xfId="0" applyFont="1" applyProtection="1">
      <protection locked="0"/>
    </xf>
    <xf numFmtId="0" fontId="3" fillId="0" borderId="1" xfId="0" applyFont="1" applyFill="1" applyBorder="1" applyProtection="1">
      <protection locked="0"/>
    </xf>
    <xf numFmtId="0" fontId="14" fillId="0" borderId="0" xfId="0" applyFont="1" applyProtection="1"/>
    <xf numFmtId="0" fontId="4" fillId="0" borderId="0" xfId="0" applyFont="1" applyAlignment="1" applyProtection="1">
      <alignment horizontal="centerContinuous" vertical="center" wrapText="1"/>
    </xf>
    <xf numFmtId="0" fontId="4" fillId="0" borderId="0" xfId="0" applyFont="1" applyBorder="1" applyAlignment="1" applyProtection="1">
      <alignment horizontal="centerContinuous" vertical="center" wrapText="1"/>
    </xf>
    <xf numFmtId="0" fontId="3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 wrapText="1"/>
    </xf>
    <xf numFmtId="0" fontId="27" fillId="10" borderId="1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/>
    </xf>
    <xf numFmtId="0" fontId="27" fillId="12" borderId="2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 applyProtection="1">
      <alignment vertical="top" wrapText="1"/>
    </xf>
    <xf numFmtId="0" fontId="7" fillId="0" borderId="0" xfId="0" applyFont="1" applyFill="1" applyBorder="1" applyProtection="1"/>
    <xf numFmtId="0" fontId="2" fillId="0" borderId="0" xfId="0" applyFont="1" applyFill="1" applyBorder="1" applyProtection="1"/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0" fontId="2" fillId="8" borderId="4" xfId="0" applyFont="1" applyFill="1" applyBorder="1" applyAlignment="1" applyProtection="1">
      <alignment horizontal="centerContinuous" vertical="center"/>
      <protection locked="0"/>
    </xf>
    <xf numFmtId="0" fontId="2" fillId="8" borderId="7" xfId="0" applyFont="1" applyFill="1" applyBorder="1" applyAlignment="1" applyProtection="1">
      <alignment horizontal="centerContinuous" vertical="center"/>
      <protection locked="0"/>
    </xf>
    <xf numFmtId="0" fontId="7" fillId="13" borderId="0" xfId="0" applyFont="1" applyFill="1" applyBorder="1" applyProtection="1"/>
    <xf numFmtId="0" fontId="7" fillId="13" borderId="0" xfId="0" applyFont="1" applyFill="1" applyProtection="1"/>
    <xf numFmtId="0" fontId="2" fillId="13" borderId="0" xfId="0" applyFont="1" applyFill="1" applyProtection="1"/>
    <xf numFmtId="0" fontId="1" fillId="10" borderId="0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center"/>
    </xf>
    <xf numFmtId="0" fontId="17" fillId="8" borderId="1" xfId="0" applyFont="1" applyFill="1" applyBorder="1" applyAlignment="1" applyProtection="1">
      <alignment horizontal="center" vertical="center" wrapText="1"/>
    </xf>
    <xf numFmtId="0" fontId="2" fillId="10" borderId="4" xfId="0" applyFont="1" applyFill="1" applyBorder="1" applyAlignment="1" applyProtection="1">
      <alignment horizontal="centerContinuous" vertical="center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11" xfId="0" applyFont="1" applyBorder="1" applyProtection="1"/>
    <xf numFmtId="0" fontId="1" fillId="0" borderId="6" xfId="0" applyFont="1" applyBorder="1" applyProtection="1"/>
    <xf numFmtId="0" fontId="2" fillId="0" borderId="6" xfId="0" applyFont="1" applyBorder="1" applyProtection="1"/>
    <xf numFmtId="0" fontId="15" fillId="0" borderId="0" xfId="0" applyFont="1" applyBorder="1" applyAlignment="1" applyProtection="1">
      <alignment horizontal="center"/>
    </xf>
    <xf numFmtId="0" fontId="3" fillId="0" borderId="5" xfId="0" applyFont="1" applyBorder="1" applyProtection="1">
      <protection locked="0"/>
    </xf>
    <xf numFmtId="0" fontId="3" fillId="7" borderId="7" xfId="0" applyFont="1" applyFill="1" applyBorder="1" applyProtection="1">
      <protection locked="0"/>
    </xf>
    <xf numFmtId="0" fontId="1" fillId="0" borderId="9" xfId="0" applyFont="1" applyBorder="1" applyAlignment="1" applyProtection="1">
      <alignment horizontal="center" vertical="center"/>
    </xf>
    <xf numFmtId="0" fontId="32" fillId="7" borderId="9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Continuous" vertical="center" wrapText="1"/>
    </xf>
    <xf numFmtId="0" fontId="1" fillId="0" borderId="2" xfId="0" applyFont="1" applyBorder="1" applyAlignment="1" applyProtection="1">
      <alignment horizontal="centerContinuous" vertical="center" wrapText="1"/>
    </xf>
    <xf numFmtId="0" fontId="1" fillId="0" borderId="9" xfId="0" applyFont="1" applyBorder="1" applyAlignment="1" applyProtection="1">
      <alignment horizontal="centerContinuous" vertical="center" wrapText="1"/>
    </xf>
    <xf numFmtId="0" fontId="1" fillId="0" borderId="0" xfId="0" applyFont="1" applyFill="1" applyBorder="1" applyAlignment="1" applyProtection="1">
      <alignment horizontal="centerContinuous"/>
    </xf>
    <xf numFmtId="0" fontId="2" fillId="15" borderId="0" xfId="0" applyFont="1" applyFill="1" applyBorder="1" applyProtection="1"/>
    <xf numFmtId="0" fontId="2" fillId="15" borderId="0" xfId="0" applyFont="1" applyFill="1" applyAlignment="1" applyProtection="1">
      <alignment horizontal="left"/>
    </xf>
    <xf numFmtId="0" fontId="2" fillId="15" borderId="4" xfId="0" applyFont="1" applyFill="1" applyBorder="1" applyProtection="1"/>
    <xf numFmtId="0" fontId="2" fillId="15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16" borderId="1" xfId="0" applyFont="1" applyFill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/>
    </xf>
    <xf numFmtId="0" fontId="16" fillId="7" borderId="1" xfId="0" applyFont="1" applyFill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10" fillId="7" borderId="9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/>
    </xf>
    <xf numFmtId="0" fontId="0" fillId="0" borderId="0" xfId="0" applyBorder="1" applyProtection="1"/>
    <xf numFmtId="0" fontId="25" fillId="0" borderId="0" xfId="0" applyFont="1" applyFill="1" applyBorder="1" applyAlignment="1" applyProtection="1">
      <alignment horizontal="centerContinuous" vertical="top" wrapText="1"/>
    </xf>
    <xf numFmtId="0" fontId="2" fillId="0" borderId="0" xfId="0" applyFont="1" applyFill="1" applyBorder="1" applyAlignment="1" applyProtection="1">
      <alignment horizontal="centerContinuous" vertical="center"/>
    </xf>
    <xf numFmtId="0" fontId="5" fillId="0" borderId="4" xfId="0" applyFont="1" applyBorder="1" applyAlignment="1" applyProtection="1">
      <alignment horizontal="centerContinuous" wrapText="1"/>
    </xf>
    <xf numFmtId="0" fontId="15" fillId="0" borderId="4" xfId="0" applyFont="1" applyFill="1" applyBorder="1" applyAlignment="1" applyProtection="1">
      <alignment horizontal="center"/>
    </xf>
    <xf numFmtId="0" fontId="24" fillId="0" borderId="0" xfId="0" applyFont="1" applyFill="1" applyAlignment="1" applyProtection="1">
      <alignment horizontal="center" vertical="center" wrapText="1"/>
    </xf>
    <xf numFmtId="0" fontId="17" fillId="10" borderId="1" xfId="0" applyFont="1" applyFill="1" applyBorder="1" applyAlignment="1" applyProtection="1">
      <alignment horizontal="center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Continuous" vertical="center" wrapText="1"/>
    </xf>
    <xf numFmtId="0" fontId="1" fillId="8" borderId="1" xfId="0" applyFont="1" applyFill="1" applyBorder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centerContinuous" wrapText="1"/>
    </xf>
    <xf numFmtId="0" fontId="1" fillId="8" borderId="1" xfId="0" applyFont="1" applyFill="1" applyBorder="1" applyAlignment="1" applyProtection="1">
      <alignment horizontal="left" vertical="top" wrapText="1"/>
    </xf>
    <xf numFmtId="0" fontId="33" fillId="0" borderId="0" xfId="0" applyFont="1" applyProtection="1"/>
    <xf numFmtId="0" fontId="0" fillId="8" borderId="7" xfId="0" applyFill="1" applyBorder="1" applyAlignment="1" applyProtection="1">
      <alignment horizontal="centerContinuous"/>
    </xf>
    <xf numFmtId="0" fontId="0" fillId="8" borderId="5" xfId="0" applyFill="1" applyBorder="1" applyAlignment="1" applyProtection="1">
      <alignment horizontal="centerContinuous"/>
    </xf>
    <xf numFmtId="0" fontId="0" fillId="11" borderId="7" xfId="0" applyFill="1" applyBorder="1" applyAlignment="1" applyProtection="1">
      <alignment horizontal="centerContinuous"/>
    </xf>
    <xf numFmtId="0" fontId="0" fillId="11" borderId="5" xfId="0" applyFill="1" applyBorder="1" applyAlignment="1" applyProtection="1">
      <alignment horizontal="centerContinuous"/>
    </xf>
    <xf numFmtId="0" fontId="1" fillId="11" borderId="1" xfId="0" applyFont="1" applyFill="1" applyBorder="1" applyAlignment="1" applyProtection="1">
      <alignment horizontal="left" vertical="top" wrapText="1"/>
    </xf>
    <xf numFmtId="0" fontId="5" fillId="11" borderId="1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top"/>
    </xf>
    <xf numFmtId="0" fontId="2" fillId="17" borderId="0" xfId="0" applyFont="1" applyFill="1" applyAlignment="1" applyProtection="1">
      <alignment horizontal="centerContinuous" vertical="top" wrapText="1"/>
    </xf>
    <xf numFmtId="0" fontId="2" fillId="17" borderId="0" xfId="0" applyFont="1" applyFill="1" applyAlignment="1" applyProtection="1">
      <alignment horizontal="centerContinuous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6" fillId="15" borderId="0" xfId="0" applyFont="1" applyFill="1" applyBorder="1" applyProtection="1"/>
    <xf numFmtId="0" fontId="32" fillId="0" borderId="0" xfId="0" applyFont="1" applyBorder="1" applyProtection="1"/>
    <xf numFmtId="0" fontId="2" fillId="13" borderId="1" xfId="0" applyFont="1" applyFill="1" applyBorder="1" applyProtection="1"/>
    <xf numFmtId="0" fontId="16" fillId="13" borderId="1" xfId="0" applyFont="1" applyFill="1" applyBorder="1" applyAlignment="1" applyProtection="1">
      <alignment horizont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Protection="1"/>
    <xf numFmtId="0" fontId="9" fillId="0" borderId="5" xfId="0" applyFont="1" applyFill="1" applyBorder="1" applyProtection="1"/>
    <xf numFmtId="0" fontId="37" fillId="12" borderId="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" fillId="12" borderId="1" xfId="0" applyFont="1" applyFill="1" applyBorder="1" applyAlignment="1" applyProtection="1">
      <alignment horizontal="center" vertical="center"/>
    </xf>
    <xf numFmtId="0" fontId="0" fillId="13" borderId="1" xfId="0" applyFill="1" applyBorder="1" applyProtection="1"/>
    <xf numFmtId="0" fontId="2" fillId="8" borderId="13" xfId="0" applyFont="1" applyFill="1" applyBorder="1" applyAlignment="1" applyProtection="1">
      <alignment horizontal="center" vertical="center"/>
      <protection locked="0"/>
    </xf>
    <xf numFmtId="0" fontId="0" fillId="13" borderId="13" xfId="0" applyFill="1" applyBorder="1" applyProtection="1"/>
    <xf numFmtId="0" fontId="2" fillId="7" borderId="5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11" borderId="8" xfId="0" applyFill="1" applyBorder="1" applyAlignment="1" applyProtection="1">
      <alignment horizontal="centerContinuous" wrapText="1"/>
    </xf>
    <xf numFmtId="0" fontId="0" fillId="8" borderId="8" xfId="0" applyFill="1" applyBorder="1" applyAlignment="1" applyProtection="1">
      <alignment horizontal="centerContinuous" wrapText="1"/>
    </xf>
    <xf numFmtId="0" fontId="0" fillId="11" borderId="7" xfId="0" applyFill="1" applyBorder="1" applyAlignment="1" applyProtection="1">
      <alignment horizontal="centerContinuous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40" fillId="8" borderId="5" xfId="0" applyFont="1" applyFill="1" applyBorder="1" applyAlignment="1" applyProtection="1">
      <alignment horizontal="center" vertical="top" wrapText="1"/>
    </xf>
    <xf numFmtId="0" fontId="1" fillId="10" borderId="0" xfId="0" applyFont="1" applyFill="1" applyBorder="1" applyAlignment="1" applyProtection="1">
      <alignment horizontal="left" wrapText="1"/>
    </xf>
    <xf numFmtId="0" fontId="34" fillId="8" borderId="15" xfId="0" applyFont="1" applyFill="1" applyBorder="1" applyAlignment="1" applyProtection="1">
      <alignment vertical="center" wrapText="1"/>
    </xf>
    <xf numFmtId="0" fontId="34" fillId="8" borderId="0" xfId="0" applyFont="1" applyFill="1" applyBorder="1" applyAlignment="1" applyProtection="1">
      <alignment vertical="center" wrapText="1"/>
    </xf>
    <xf numFmtId="0" fontId="34" fillId="8" borderId="12" xfId="0" applyFont="1" applyFill="1" applyBorder="1" applyAlignment="1" applyProtection="1">
      <alignment vertical="center" wrapText="1"/>
    </xf>
    <xf numFmtId="0" fontId="34" fillId="8" borderId="14" xfId="0" applyFont="1" applyFill="1" applyBorder="1" applyAlignment="1" applyProtection="1">
      <alignment horizontal="centerContinuous" vertical="center" wrapText="1"/>
    </xf>
    <xf numFmtId="0" fontId="34" fillId="8" borderId="6" xfId="0" applyFont="1" applyFill="1" applyBorder="1" applyAlignment="1" applyProtection="1">
      <alignment horizontal="centerContinuous" vertical="center" wrapText="1"/>
    </xf>
    <xf numFmtId="0" fontId="34" fillId="8" borderId="9" xfId="0" applyFont="1" applyFill="1" applyBorder="1" applyAlignment="1" applyProtection="1">
      <alignment horizontal="centerContinuous" vertical="center" wrapText="1"/>
    </xf>
    <xf numFmtId="0" fontId="1" fillId="0" borderId="10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0" fillId="0" borderId="7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4" fillId="0" borderId="1" xfId="0" applyFont="1" applyBorder="1" applyAlignment="1" applyProtection="1">
      <alignment horizontal="center" vertical="center" wrapText="1"/>
    </xf>
    <xf numFmtId="0" fontId="6" fillId="18" borderId="1" xfId="0" applyFont="1" applyFill="1" applyBorder="1" applyAlignment="1" applyProtection="1">
      <alignment horizontal="center" vertical="center"/>
    </xf>
    <xf numFmtId="0" fontId="23" fillId="18" borderId="0" xfId="0" applyFont="1" applyFill="1" applyBorder="1" applyProtection="1"/>
    <xf numFmtId="0" fontId="3" fillId="3" borderId="2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17" fillId="19" borderId="3" xfId="0" applyFont="1" applyFill="1" applyBorder="1" applyAlignment="1" applyProtection="1">
      <alignment horizontal="center" vertical="center" wrapText="1"/>
    </xf>
    <xf numFmtId="2" fontId="2" fillId="19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top" wrapText="1"/>
    </xf>
    <xf numFmtId="0" fontId="1" fillId="0" borderId="4" xfId="0" applyFont="1" applyBorder="1" applyAlignment="1" applyProtection="1">
      <alignment horizontal="centerContinuous" wrapText="1"/>
      <protection locked="0"/>
    </xf>
    <xf numFmtId="0" fontId="1" fillId="0" borderId="4" xfId="0" applyFont="1" applyBorder="1" applyAlignment="1" applyProtection="1">
      <alignment horizontal="centerContinuous"/>
      <protection locked="0"/>
    </xf>
    <xf numFmtId="0" fontId="2" fillId="0" borderId="0" xfId="0" applyFont="1" applyFill="1" applyProtection="1"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Continuous" vertical="top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centerContinuous" vertical="top"/>
      <protection locked="0"/>
    </xf>
    <xf numFmtId="0" fontId="0" fillId="0" borderId="0" xfId="0" applyAlignment="1" applyProtection="1">
      <alignment horizontal="centerContinuous"/>
      <protection locked="0"/>
    </xf>
    <xf numFmtId="0" fontId="18" fillId="0" borderId="0" xfId="0" applyFont="1" applyAlignment="1" applyProtection="1">
      <alignment horizontal="centerContinuous" wrapText="1"/>
      <protection locked="0"/>
    </xf>
    <xf numFmtId="0" fontId="7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30" fillId="0" borderId="0" xfId="0" applyFo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2" fillId="10" borderId="4" xfId="0" applyFont="1" applyFill="1" applyBorder="1" applyAlignment="1" applyProtection="1">
      <alignment horizontal="left" vertical="center"/>
      <protection locked="0"/>
    </xf>
    <xf numFmtId="0" fontId="15" fillId="8" borderId="4" xfId="0" applyFont="1" applyFill="1" applyBorder="1" applyAlignment="1" applyProtection="1">
      <alignment horizontal="center"/>
    </xf>
    <xf numFmtId="0" fontId="2" fillId="10" borderId="4" xfId="0" applyFont="1" applyFill="1" applyBorder="1" applyAlignment="1" applyProtection="1">
      <alignment horizontal="center" vertical="center"/>
    </xf>
    <xf numFmtId="0" fontId="2" fillId="5" borderId="11" xfId="0" applyFont="1" applyFill="1" applyBorder="1" applyProtection="1"/>
    <xf numFmtId="0" fontId="9" fillId="0" borderId="1" xfId="0" applyFont="1" applyBorder="1" applyProtection="1"/>
    <xf numFmtId="0" fontId="9" fillId="0" borderId="5" xfId="0" applyFont="1" applyBorder="1" applyProtection="1"/>
    <xf numFmtId="0" fontId="5" fillId="8" borderId="1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 vertical="top" wrapText="1"/>
    </xf>
    <xf numFmtId="0" fontId="38" fillId="16" borderId="1" xfId="0" applyFont="1" applyFill="1" applyBorder="1" applyAlignment="1" applyProtection="1">
      <alignment vertical="top" wrapText="1"/>
    </xf>
    <xf numFmtId="0" fontId="39" fillId="16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wrapText="1"/>
    </xf>
    <xf numFmtId="0" fontId="10" fillId="0" borderId="8" xfId="0" applyFont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vertical="center" wrapText="1"/>
    </xf>
    <xf numFmtId="0" fontId="28" fillId="0" borderId="0" xfId="0" applyFont="1" applyProtection="1"/>
    <xf numFmtId="1" fontId="0" fillId="8" borderId="1" xfId="0" applyNumberFormat="1" applyFill="1" applyBorder="1" applyAlignment="1" applyProtection="1">
      <alignment horizontal="center"/>
      <protection locked="0"/>
    </xf>
    <xf numFmtId="1" fontId="1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/>
    <xf numFmtId="0" fontId="7" fillId="13" borderId="0" xfId="0" applyFont="1" applyFill="1" applyAlignment="1" applyProtection="1">
      <alignment wrapText="1"/>
    </xf>
    <xf numFmtId="0" fontId="7" fillId="13" borderId="0" xfId="0" applyFont="1" applyFill="1" applyAlignment="1" applyProtection="1">
      <alignment horizontal="left" vertical="top" wrapText="1"/>
    </xf>
    <xf numFmtId="0" fontId="1" fillId="5" borderId="7" xfId="0" applyFont="1" applyFill="1" applyBorder="1" applyAlignment="1" applyProtection="1">
      <alignment horizontal="left"/>
    </xf>
    <xf numFmtId="0" fontId="1" fillId="5" borderId="5" xfId="0" applyFont="1" applyFill="1" applyBorder="1" applyAlignment="1" applyProtection="1">
      <alignment horizontal="left"/>
    </xf>
    <xf numFmtId="0" fontId="1" fillId="13" borderId="7" xfId="0" applyFont="1" applyFill="1" applyBorder="1" applyAlignment="1" applyProtection="1">
      <alignment horizontal="left"/>
    </xf>
    <xf numFmtId="0" fontId="1" fillId="13" borderId="5" xfId="0" applyFont="1" applyFill="1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 wrapText="1"/>
    </xf>
    <xf numFmtId="0" fontId="2" fillId="10" borderId="10" xfId="0" applyFont="1" applyFill="1" applyBorder="1" applyAlignment="1" applyProtection="1">
      <alignment horizontal="center" vertical="center" wrapText="1"/>
    </xf>
    <xf numFmtId="0" fontId="2" fillId="10" borderId="3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30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3"/>
  <sheetViews>
    <sheetView workbookViewId="0">
      <selection activeCell="J15" sqref="J15"/>
    </sheetView>
  </sheetViews>
  <sheetFormatPr defaultRowHeight="15" x14ac:dyDescent="0.25"/>
  <cols>
    <col min="1" max="1" width="13.28515625" bestFit="1" customWidth="1"/>
    <col min="2" max="2" width="62.5703125" customWidth="1"/>
  </cols>
  <sheetData>
    <row r="1" spans="1:2" x14ac:dyDescent="0.25">
      <c r="B1" t="s">
        <v>127</v>
      </c>
    </row>
    <row r="3" spans="1:2" ht="29.25" customHeight="1" x14ac:dyDescent="0.25">
      <c r="A3" s="22">
        <v>1</v>
      </c>
      <c r="B3" s="23" t="s">
        <v>191</v>
      </c>
    </row>
    <row r="4" spans="1:2" ht="29.25" customHeight="1" x14ac:dyDescent="0.25">
      <c r="A4" s="24">
        <v>2</v>
      </c>
      <c r="B4" s="25" t="s">
        <v>129</v>
      </c>
    </row>
    <row r="5" spans="1:2" ht="29.25" customHeight="1" x14ac:dyDescent="0.25">
      <c r="A5" s="22">
        <v>3</v>
      </c>
      <c r="B5" s="23" t="s">
        <v>125</v>
      </c>
    </row>
    <row r="6" spans="1:2" ht="29.25" customHeight="1" x14ac:dyDescent="0.25">
      <c r="A6" s="24">
        <v>4</v>
      </c>
      <c r="B6" s="25" t="s">
        <v>126</v>
      </c>
    </row>
    <row r="7" spans="1:2" ht="58.5" customHeight="1" x14ac:dyDescent="0.25">
      <c r="A7" s="22">
        <v>5</v>
      </c>
      <c r="B7" s="23" t="s">
        <v>130</v>
      </c>
    </row>
    <row r="8" spans="1:2" ht="43.5" customHeight="1" x14ac:dyDescent="0.25">
      <c r="A8" s="24">
        <v>6</v>
      </c>
      <c r="B8" s="25" t="s">
        <v>239</v>
      </c>
    </row>
    <row r="9" spans="1:2" ht="29.25" customHeight="1" x14ac:dyDescent="0.25">
      <c r="A9" s="22">
        <v>7</v>
      </c>
      <c r="B9" s="23" t="s">
        <v>131</v>
      </c>
    </row>
    <row r="10" spans="1:2" ht="29.25" customHeight="1" x14ac:dyDescent="0.25">
      <c r="A10" s="24">
        <v>8</v>
      </c>
      <c r="B10" s="25"/>
    </row>
    <row r="12" spans="1:2" ht="45" x14ac:dyDescent="0.25">
      <c r="A12" s="20" t="s">
        <v>128</v>
      </c>
      <c r="B12" s="21" t="s">
        <v>240</v>
      </c>
    </row>
    <row r="13" spans="1:2" ht="39.75" customHeight="1" x14ac:dyDescent="0.25">
      <c r="B13" s="209" t="s">
        <v>241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sheetProtection password="CA9D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"/>
  <sheetViews>
    <sheetView topLeftCell="A28" workbookViewId="0">
      <selection activeCell="M11" sqref="M11"/>
    </sheetView>
  </sheetViews>
  <sheetFormatPr defaultRowHeight="15" x14ac:dyDescent="0.25"/>
  <cols>
    <col min="1" max="1" width="11.5703125" customWidth="1"/>
    <col min="2" max="2" width="37" customWidth="1"/>
    <col min="4" max="4" width="4.140625" bestFit="1" customWidth="1"/>
    <col min="5" max="5" width="5.42578125" customWidth="1"/>
    <col min="6" max="6" width="16.28515625" customWidth="1"/>
  </cols>
  <sheetData>
    <row r="1" spans="1:6" ht="20.25" x14ac:dyDescent="0.25">
      <c r="A1" s="16" t="s">
        <v>76</v>
      </c>
      <c r="B1" s="17" t="s">
        <v>77</v>
      </c>
      <c r="D1" t="s">
        <v>119</v>
      </c>
      <c r="F1" t="s">
        <v>122</v>
      </c>
    </row>
    <row r="2" spans="1:6" ht="40.5" x14ac:dyDescent="0.25">
      <c r="A2" s="14">
        <v>101</v>
      </c>
      <c r="B2" s="15" t="s">
        <v>78</v>
      </c>
      <c r="D2" t="s">
        <v>120</v>
      </c>
      <c r="F2" t="s">
        <v>123</v>
      </c>
    </row>
    <row r="3" spans="1:6" ht="20.25" x14ac:dyDescent="0.25">
      <c r="A3" s="14">
        <v>102</v>
      </c>
      <c r="B3" s="15" t="s">
        <v>79</v>
      </c>
      <c r="F3" t="s">
        <v>124</v>
      </c>
    </row>
    <row r="4" spans="1:6" ht="20.25" x14ac:dyDescent="0.25">
      <c r="A4" s="14">
        <v>103</v>
      </c>
      <c r="B4" s="15" t="s">
        <v>80</v>
      </c>
    </row>
    <row r="5" spans="1:6" ht="20.25" x14ac:dyDescent="0.25">
      <c r="A5" s="14">
        <v>104</v>
      </c>
      <c r="B5" s="15" t="s">
        <v>81</v>
      </c>
    </row>
    <row r="6" spans="1:6" ht="20.25" x14ac:dyDescent="0.25">
      <c r="A6" s="14">
        <v>105</v>
      </c>
      <c r="B6" s="15" t="s">
        <v>82</v>
      </c>
    </row>
    <row r="7" spans="1:6" ht="40.5" x14ac:dyDescent="0.25">
      <c r="A7" s="14">
        <v>106</v>
      </c>
      <c r="B7" s="15" t="s">
        <v>83</v>
      </c>
    </row>
    <row r="8" spans="1:6" ht="20.25" x14ac:dyDescent="0.25">
      <c r="A8" s="14">
        <v>107</v>
      </c>
      <c r="B8" s="15" t="s">
        <v>84</v>
      </c>
    </row>
    <row r="9" spans="1:6" ht="20.25" x14ac:dyDescent="0.25">
      <c r="A9" s="14">
        <v>108</v>
      </c>
      <c r="B9" s="15" t="s">
        <v>85</v>
      </c>
    </row>
    <row r="10" spans="1:6" ht="20.25" x14ac:dyDescent="0.25">
      <c r="A10" s="14">
        <v>109</v>
      </c>
      <c r="B10" s="15" t="s">
        <v>86</v>
      </c>
    </row>
    <row r="11" spans="1:6" ht="40.5" x14ac:dyDescent="0.25">
      <c r="A11" s="14">
        <v>110</v>
      </c>
      <c r="B11" s="15" t="s">
        <v>87</v>
      </c>
    </row>
    <row r="12" spans="1:6" ht="20.25" x14ac:dyDescent="0.25">
      <c r="A12" s="14">
        <v>112</v>
      </c>
      <c r="B12" s="15" t="s">
        <v>88</v>
      </c>
    </row>
    <row r="13" spans="1:6" ht="40.5" x14ac:dyDescent="0.25">
      <c r="A13" s="14">
        <v>113</v>
      </c>
      <c r="B13" s="15" t="s">
        <v>89</v>
      </c>
    </row>
    <row r="14" spans="1:6" ht="20.25" x14ac:dyDescent="0.25">
      <c r="A14" s="14">
        <v>114</v>
      </c>
      <c r="B14" s="15" t="s">
        <v>90</v>
      </c>
    </row>
    <row r="15" spans="1:6" ht="20.25" x14ac:dyDescent="0.25">
      <c r="A15" s="14">
        <v>115</v>
      </c>
      <c r="B15" s="15" t="s">
        <v>91</v>
      </c>
    </row>
    <row r="16" spans="1:6" ht="20.25" x14ac:dyDescent="0.25">
      <c r="A16" s="14">
        <v>116</v>
      </c>
      <c r="B16" s="15" t="s">
        <v>92</v>
      </c>
    </row>
    <row r="17" spans="1:2" ht="40.5" x14ac:dyDescent="0.25">
      <c r="A17" s="14">
        <v>117</v>
      </c>
      <c r="B17" s="15" t="s">
        <v>93</v>
      </c>
    </row>
    <row r="18" spans="1:2" ht="40.5" x14ac:dyDescent="0.25">
      <c r="A18" s="14">
        <v>118</v>
      </c>
      <c r="B18" s="15" t="s">
        <v>170</v>
      </c>
    </row>
    <row r="19" spans="1:2" ht="20.25" x14ac:dyDescent="0.25">
      <c r="A19" s="14">
        <v>119</v>
      </c>
      <c r="B19" s="15" t="s">
        <v>94</v>
      </c>
    </row>
    <row r="20" spans="1:2" ht="20.25" x14ac:dyDescent="0.25">
      <c r="A20" s="14">
        <v>120</v>
      </c>
      <c r="B20" s="15" t="s">
        <v>95</v>
      </c>
    </row>
    <row r="21" spans="1:2" ht="40.5" x14ac:dyDescent="0.25">
      <c r="A21" s="14">
        <v>121</v>
      </c>
      <c r="B21" s="15" t="s">
        <v>96</v>
      </c>
    </row>
    <row r="22" spans="1:2" ht="20.25" x14ac:dyDescent="0.25">
      <c r="A22" s="14">
        <v>122</v>
      </c>
      <c r="B22" s="15" t="s">
        <v>97</v>
      </c>
    </row>
    <row r="23" spans="1:2" ht="40.5" x14ac:dyDescent="0.25">
      <c r="A23" s="14">
        <v>123</v>
      </c>
      <c r="B23" s="15" t="s">
        <v>98</v>
      </c>
    </row>
    <row r="24" spans="1:2" ht="40.5" x14ac:dyDescent="0.25">
      <c r="A24" s="14">
        <v>124</v>
      </c>
      <c r="B24" s="15" t="s">
        <v>171</v>
      </c>
    </row>
    <row r="25" spans="1:2" ht="20.25" x14ac:dyDescent="0.25">
      <c r="A25" s="14">
        <v>125</v>
      </c>
      <c r="B25" s="15" t="s">
        <v>99</v>
      </c>
    </row>
    <row r="26" spans="1:2" ht="40.5" x14ac:dyDescent="0.25">
      <c r="A26" s="14">
        <v>126</v>
      </c>
      <c r="B26" s="15" t="s">
        <v>172</v>
      </c>
    </row>
    <row r="27" spans="1:2" ht="40.5" x14ac:dyDescent="0.25">
      <c r="A27" s="14">
        <v>127</v>
      </c>
      <c r="B27" s="15" t="s">
        <v>100</v>
      </c>
    </row>
    <row r="28" spans="1:2" ht="40.5" x14ac:dyDescent="0.25">
      <c r="A28" s="14">
        <v>128</v>
      </c>
      <c r="B28" s="15" t="s">
        <v>101</v>
      </c>
    </row>
    <row r="29" spans="1:2" ht="40.5" x14ac:dyDescent="0.25">
      <c r="A29" s="14">
        <v>129</v>
      </c>
      <c r="B29" s="15" t="s">
        <v>102</v>
      </c>
    </row>
    <row r="30" spans="1:2" ht="40.5" x14ac:dyDescent="0.25">
      <c r="A30" s="14">
        <v>130</v>
      </c>
      <c r="B30" s="15" t="s">
        <v>103</v>
      </c>
    </row>
    <row r="31" spans="1:2" ht="40.5" x14ac:dyDescent="0.25">
      <c r="A31" s="14">
        <v>131</v>
      </c>
      <c r="B31" s="15" t="s">
        <v>173</v>
      </c>
    </row>
    <row r="32" spans="1:2" ht="20.25" x14ac:dyDescent="0.25">
      <c r="A32" s="14">
        <v>132</v>
      </c>
      <c r="B32" s="15" t="s">
        <v>104</v>
      </c>
    </row>
    <row r="33" spans="1:2" ht="40.5" x14ac:dyDescent="0.25">
      <c r="A33" s="14">
        <v>133</v>
      </c>
      <c r="B33" s="15" t="s">
        <v>105</v>
      </c>
    </row>
    <row r="34" spans="1:2" ht="40.5" x14ac:dyDescent="0.25">
      <c r="A34" s="14">
        <v>134</v>
      </c>
      <c r="B34" s="15" t="s">
        <v>106</v>
      </c>
    </row>
    <row r="35" spans="1:2" ht="20.25" x14ac:dyDescent="0.25">
      <c r="A35" s="14">
        <v>135</v>
      </c>
      <c r="B35" s="15" t="s">
        <v>107</v>
      </c>
    </row>
    <row r="36" spans="1:2" ht="40.5" x14ac:dyDescent="0.25">
      <c r="A36" s="14">
        <v>136</v>
      </c>
      <c r="B36" s="15" t="s">
        <v>174</v>
      </c>
    </row>
    <row r="37" spans="1:2" ht="20.25" x14ac:dyDescent="0.25">
      <c r="A37" s="14">
        <v>137</v>
      </c>
      <c r="B37" s="15" t="s">
        <v>108</v>
      </c>
    </row>
    <row r="38" spans="1:2" ht="20.25" x14ac:dyDescent="0.25">
      <c r="A38" s="14">
        <v>138</v>
      </c>
      <c r="B38" s="15" t="s">
        <v>109</v>
      </c>
    </row>
    <row r="39" spans="1:2" ht="20.25" x14ac:dyDescent="0.25">
      <c r="A39" s="14">
        <v>139</v>
      </c>
      <c r="B39" s="15" t="s">
        <v>110</v>
      </c>
    </row>
    <row r="40" spans="1:2" ht="40.5" x14ac:dyDescent="0.25">
      <c r="A40" s="14">
        <v>140</v>
      </c>
      <c r="B40" s="15" t="s">
        <v>111</v>
      </c>
    </row>
    <row r="41" spans="1:2" ht="20.25" x14ac:dyDescent="0.25">
      <c r="A41" s="14">
        <v>141</v>
      </c>
      <c r="B41" s="15" t="s">
        <v>112</v>
      </c>
    </row>
    <row r="42" spans="1:2" ht="20.25" x14ac:dyDescent="0.25">
      <c r="A42" s="14">
        <v>142</v>
      </c>
      <c r="B42" s="15" t="s">
        <v>113</v>
      </c>
    </row>
    <row r="43" spans="1:2" ht="20.25" x14ac:dyDescent="0.25">
      <c r="A43" s="14">
        <v>143</v>
      </c>
      <c r="B43" s="15" t="s">
        <v>114</v>
      </c>
    </row>
    <row r="44" spans="1:2" ht="40.5" x14ac:dyDescent="0.25">
      <c r="A44" s="14">
        <v>969</v>
      </c>
      <c r="B44" s="15" t="s">
        <v>115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9"/>
  <sheetViews>
    <sheetView workbookViewId="0">
      <selection activeCell="E19" sqref="E19"/>
    </sheetView>
  </sheetViews>
  <sheetFormatPr defaultRowHeight="15" x14ac:dyDescent="0.25"/>
  <cols>
    <col min="1" max="1" width="9.140625" style="1"/>
    <col min="2" max="2" width="17" style="1" bestFit="1" customWidth="1"/>
    <col min="3" max="3" width="13.85546875" style="1" customWidth="1"/>
    <col min="4" max="5" width="15.42578125" style="1" customWidth="1"/>
    <col min="6" max="6" width="12.42578125" style="1" customWidth="1"/>
    <col min="7" max="7" width="12.7109375" style="1" customWidth="1"/>
    <col min="8" max="20" width="5.85546875" style="1" customWidth="1"/>
    <col min="21" max="32" width="5" style="1" customWidth="1"/>
    <col min="33" max="34" width="9.140625" style="1"/>
    <col min="35" max="35" width="16.7109375" style="1" customWidth="1"/>
    <col min="36" max="36" width="27.5703125" style="1" customWidth="1"/>
    <col min="37" max="16384" width="9.140625" style="1"/>
  </cols>
  <sheetData>
    <row r="1" spans="1:39" s="5" customFormat="1" ht="37.5" customHeight="1" x14ac:dyDescent="0.25">
      <c r="A1" s="27" t="s">
        <v>71</v>
      </c>
      <c r="B1" s="13">
        <v>135</v>
      </c>
      <c r="C1" s="13"/>
      <c r="D1" s="210" t="str">
        <f>VLOOKUP(B1,mouo,2,0)</f>
        <v>Сонковский район</v>
      </c>
      <c r="E1" s="210"/>
      <c r="F1" s="210"/>
      <c r="G1" s="211"/>
      <c r="I1" s="225" t="s">
        <v>122</v>
      </c>
      <c r="J1" s="110"/>
      <c r="K1" s="110"/>
      <c r="L1" s="110"/>
      <c r="M1" s="110"/>
      <c r="AB1" s="212"/>
      <c r="AC1" s="212"/>
      <c r="AD1" s="212"/>
      <c r="AE1" s="212"/>
      <c r="AF1" s="212"/>
    </row>
    <row r="2" spans="1:39" s="5" customFormat="1" ht="24" x14ac:dyDescent="0.25">
      <c r="A2" s="27"/>
      <c r="B2" s="213" t="s">
        <v>72</v>
      </c>
      <c r="C2" s="213"/>
      <c r="I2" s="214" t="s">
        <v>149</v>
      </c>
      <c r="J2" s="215"/>
      <c r="K2" s="215"/>
      <c r="L2" s="216"/>
      <c r="M2" s="215"/>
    </row>
    <row r="3" spans="1:39" ht="18.75" x14ac:dyDescent="0.3">
      <c r="A3" s="30" t="s">
        <v>168</v>
      </c>
      <c r="B3" s="217"/>
      <c r="C3" s="217"/>
      <c r="D3" s="217"/>
      <c r="E3" s="217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</row>
    <row r="4" spans="1:39" x14ac:dyDescent="0.25">
      <c r="A4" s="31"/>
    </row>
    <row r="5" spans="1:39" ht="15.75" customHeight="1" x14ac:dyDescent="0.25">
      <c r="A5" s="201"/>
      <c r="B5" s="199"/>
      <c r="C5" s="199"/>
      <c r="D5" s="199"/>
      <c r="E5" s="199"/>
      <c r="F5" s="199"/>
      <c r="G5" s="200"/>
      <c r="H5" s="32" t="s">
        <v>161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9" ht="103.5" customHeight="1" x14ac:dyDescent="0.25">
      <c r="A6" s="45" t="s">
        <v>74</v>
      </c>
      <c r="B6" s="185" t="s">
        <v>65</v>
      </c>
      <c r="C6" s="186" t="s">
        <v>22</v>
      </c>
      <c r="D6" s="186" t="s">
        <v>22</v>
      </c>
      <c r="E6" s="205" t="s">
        <v>204</v>
      </c>
      <c r="F6" s="206" t="s">
        <v>238</v>
      </c>
      <c r="G6" s="198" t="s">
        <v>23</v>
      </c>
      <c r="H6" s="33" t="s">
        <v>24</v>
      </c>
      <c r="I6" s="33" t="s">
        <v>25</v>
      </c>
      <c r="J6" s="33" t="s">
        <v>26</v>
      </c>
      <c r="K6" s="33" t="s">
        <v>27</v>
      </c>
      <c r="L6" s="33" t="s">
        <v>28</v>
      </c>
      <c r="M6" s="33" t="s">
        <v>29</v>
      </c>
      <c r="N6" s="33" t="s">
        <v>30</v>
      </c>
      <c r="O6" s="33" t="s">
        <v>31</v>
      </c>
      <c r="P6" s="33" t="s">
        <v>32</v>
      </c>
      <c r="Q6" s="33" t="s">
        <v>33</v>
      </c>
      <c r="R6" s="33" t="s">
        <v>34</v>
      </c>
      <c r="S6" s="33" t="s">
        <v>35</v>
      </c>
      <c r="T6" s="33" t="s">
        <v>36</v>
      </c>
      <c r="U6" s="33" t="s">
        <v>37</v>
      </c>
      <c r="V6" s="33" t="s">
        <v>38</v>
      </c>
      <c r="W6" s="33" t="s">
        <v>39</v>
      </c>
      <c r="X6" s="33" t="s">
        <v>40</v>
      </c>
      <c r="Y6" s="33" t="s">
        <v>49</v>
      </c>
      <c r="Z6" s="33" t="s">
        <v>50</v>
      </c>
      <c r="AA6" s="33" t="s">
        <v>51</v>
      </c>
      <c r="AB6" s="33" t="s">
        <v>52</v>
      </c>
      <c r="AC6" s="33" t="s">
        <v>158</v>
      </c>
      <c r="AD6" s="33" t="s">
        <v>159</v>
      </c>
      <c r="AE6" s="33" t="s">
        <v>160</v>
      </c>
      <c r="AF6" s="33" t="s">
        <v>53</v>
      </c>
    </row>
    <row r="7" spans="1:39" ht="18.75" x14ac:dyDescent="0.25">
      <c r="A7" s="34" t="s">
        <v>73</v>
      </c>
      <c r="B7" s="35" t="s">
        <v>116</v>
      </c>
      <c r="C7" s="202" t="s">
        <v>64</v>
      </c>
      <c r="D7" s="202" t="s">
        <v>63</v>
      </c>
      <c r="E7" s="84" t="s">
        <v>73</v>
      </c>
      <c r="F7" s="31"/>
      <c r="G7" s="207" t="s">
        <v>73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26"/>
      <c r="AH7" s="26"/>
      <c r="AI7" s="26"/>
      <c r="AJ7" s="26"/>
      <c r="AK7" s="26"/>
      <c r="AL7" s="26"/>
      <c r="AM7" s="26"/>
    </row>
    <row r="8" spans="1:39" ht="21.75" customHeight="1" x14ac:dyDescent="0.25">
      <c r="A8" s="36">
        <f>$B$1</f>
        <v>135</v>
      </c>
      <c r="B8" s="44" t="s">
        <v>54</v>
      </c>
      <c r="C8" s="11">
        <v>57</v>
      </c>
      <c r="D8" s="11">
        <v>15</v>
      </c>
      <c r="E8" s="43">
        <f t="shared" ref="E8:E15" si="0">SUM(H8:AF8)</f>
        <v>15</v>
      </c>
      <c r="F8" s="11">
        <v>0</v>
      </c>
      <c r="G8" s="208">
        <f>E8/(C8+D8)*100</f>
        <v>20.833333333333336</v>
      </c>
      <c r="H8" s="11">
        <v>8</v>
      </c>
      <c r="I8" s="11">
        <v>7</v>
      </c>
      <c r="J8" s="11"/>
      <c r="K8" s="11"/>
      <c r="L8" s="11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219"/>
      <c r="AH8" s="26"/>
      <c r="AI8" s="26"/>
      <c r="AJ8" s="8"/>
      <c r="AK8" s="8"/>
      <c r="AL8" s="8"/>
      <c r="AM8" s="26"/>
    </row>
    <row r="9" spans="1:39" ht="21.75" customHeight="1" x14ac:dyDescent="0.25">
      <c r="A9" s="36">
        <f t="shared" ref="A9:A20" si="1">$B$1</f>
        <v>135</v>
      </c>
      <c r="B9" s="44" t="s">
        <v>41</v>
      </c>
      <c r="C9" s="11">
        <v>62</v>
      </c>
      <c r="D9" s="11">
        <v>10</v>
      </c>
      <c r="E9" s="43">
        <f t="shared" si="0"/>
        <v>35</v>
      </c>
      <c r="F9" s="11">
        <v>0</v>
      </c>
      <c r="G9" s="208">
        <f t="shared" ref="G9:G16" si="2">E9/(C9+D9)*100</f>
        <v>48.611111111111107</v>
      </c>
      <c r="H9" s="11">
        <v>15</v>
      </c>
      <c r="I9" s="11">
        <v>12</v>
      </c>
      <c r="J9" s="11">
        <v>2</v>
      </c>
      <c r="K9" s="11">
        <v>5</v>
      </c>
      <c r="L9" s="11">
        <v>1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26"/>
      <c r="AH9" s="26"/>
      <c r="AI9" s="26"/>
      <c r="AJ9" s="26"/>
      <c r="AK9" s="26"/>
      <c r="AL9" s="26"/>
      <c r="AM9" s="26"/>
    </row>
    <row r="10" spans="1:39" ht="21.75" customHeight="1" x14ac:dyDescent="0.25">
      <c r="A10" s="36">
        <f t="shared" si="1"/>
        <v>135</v>
      </c>
      <c r="B10" s="44" t="s">
        <v>42</v>
      </c>
      <c r="C10" s="11">
        <v>54</v>
      </c>
      <c r="D10" s="11">
        <v>14</v>
      </c>
      <c r="E10" s="43">
        <f t="shared" si="0"/>
        <v>32</v>
      </c>
      <c r="F10" s="11">
        <v>0</v>
      </c>
      <c r="G10" s="208">
        <f t="shared" si="2"/>
        <v>47.058823529411761</v>
      </c>
      <c r="H10" s="11">
        <v>16</v>
      </c>
      <c r="I10" s="11">
        <v>5</v>
      </c>
      <c r="J10" s="11">
        <v>2</v>
      </c>
      <c r="K10" s="11">
        <v>3</v>
      </c>
      <c r="L10" s="11">
        <v>2</v>
      </c>
      <c r="M10" s="11">
        <v>1</v>
      </c>
      <c r="N10" s="11">
        <v>2</v>
      </c>
      <c r="O10" s="11">
        <v>1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26"/>
      <c r="AH10" s="26"/>
      <c r="AI10" s="26"/>
      <c r="AJ10" s="26"/>
      <c r="AK10" s="26"/>
      <c r="AL10" s="26"/>
      <c r="AM10" s="26"/>
    </row>
    <row r="11" spans="1:39" ht="21.75" customHeight="1" x14ac:dyDescent="0.25">
      <c r="A11" s="36">
        <f t="shared" si="1"/>
        <v>135</v>
      </c>
      <c r="B11" s="44" t="s">
        <v>43</v>
      </c>
      <c r="C11" s="11">
        <v>75</v>
      </c>
      <c r="D11" s="11">
        <v>21</v>
      </c>
      <c r="E11" s="43">
        <f t="shared" si="0"/>
        <v>36</v>
      </c>
      <c r="F11" s="11">
        <v>0</v>
      </c>
      <c r="G11" s="208">
        <f t="shared" si="2"/>
        <v>37.5</v>
      </c>
      <c r="H11" s="11">
        <v>13</v>
      </c>
      <c r="I11" s="11">
        <v>9</v>
      </c>
      <c r="J11" s="11">
        <v>6</v>
      </c>
      <c r="K11" s="11">
        <v>3</v>
      </c>
      <c r="L11" s="11">
        <v>3</v>
      </c>
      <c r="M11" s="11">
        <v>1</v>
      </c>
      <c r="N11" s="11"/>
      <c r="O11" s="11"/>
      <c r="P11" s="11">
        <v>1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9" ht="21.75" customHeight="1" x14ac:dyDescent="0.25">
      <c r="A12" s="36">
        <f t="shared" si="1"/>
        <v>135</v>
      </c>
      <c r="B12" s="44" t="s">
        <v>44</v>
      </c>
      <c r="C12" s="11">
        <v>75</v>
      </c>
      <c r="D12" s="11">
        <v>21</v>
      </c>
      <c r="E12" s="43">
        <f t="shared" si="0"/>
        <v>34</v>
      </c>
      <c r="F12" s="11">
        <v>0</v>
      </c>
      <c r="G12" s="208">
        <f t="shared" si="2"/>
        <v>35.416666666666671</v>
      </c>
      <c r="H12" s="11">
        <v>16</v>
      </c>
      <c r="I12" s="11">
        <v>8</v>
      </c>
      <c r="J12" s="11">
        <v>4</v>
      </c>
      <c r="K12" s="11">
        <v>2</v>
      </c>
      <c r="L12" s="11">
        <v>1</v>
      </c>
      <c r="M12" s="11">
        <v>1</v>
      </c>
      <c r="N12" s="11">
        <v>1</v>
      </c>
      <c r="O12" s="11">
        <v>1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9" ht="21.75" customHeight="1" x14ac:dyDescent="0.25">
      <c r="A13" s="36">
        <f t="shared" si="1"/>
        <v>135</v>
      </c>
      <c r="B13" s="44" t="s">
        <v>45</v>
      </c>
      <c r="C13" s="11">
        <v>59</v>
      </c>
      <c r="D13" s="11">
        <v>20</v>
      </c>
      <c r="E13" s="43">
        <f t="shared" si="0"/>
        <v>38</v>
      </c>
      <c r="F13" s="11">
        <v>0</v>
      </c>
      <c r="G13" s="208">
        <f t="shared" si="2"/>
        <v>48.101265822784811</v>
      </c>
      <c r="H13" s="11">
        <v>14</v>
      </c>
      <c r="I13" s="11">
        <v>9</v>
      </c>
      <c r="J13" s="11">
        <v>5</v>
      </c>
      <c r="K13" s="11">
        <v>4</v>
      </c>
      <c r="L13" s="11">
        <v>2</v>
      </c>
      <c r="M13" s="11">
        <v>3</v>
      </c>
      <c r="N13" s="11"/>
      <c r="O13" s="11">
        <v>1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9" ht="21.75" customHeight="1" x14ac:dyDescent="0.25">
      <c r="A14" s="36">
        <f t="shared" si="1"/>
        <v>135</v>
      </c>
      <c r="B14" s="44" t="s">
        <v>46</v>
      </c>
      <c r="C14" s="11">
        <v>20</v>
      </c>
      <c r="D14" s="11">
        <v>0</v>
      </c>
      <c r="E14" s="43">
        <f t="shared" si="0"/>
        <v>20</v>
      </c>
      <c r="F14" s="11">
        <v>0</v>
      </c>
      <c r="G14" s="208">
        <f t="shared" si="2"/>
        <v>100</v>
      </c>
      <c r="H14" s="11">
        <v>10</v>
      </c>
      <c r="I14" s="11">
        <v>4</v>
      </c>
      <c r="J14" s="11">
        <v>5</v>
      </c>
      <c r="K14" s="11">
        <v>1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9" ht="21.75" customHeight="1" x14ac:dyDescent="0.25">
      <c r="A15" s="36">
        <f t="shared" si="1"/>
        <v>135</v>
      </c>
      <c r="B15" s="44" t="s">
        <v>47</v>
      </c>
      <c r="C15" s="11">
        <v>26</v>
      </c>
      <c r="D15" s="11">
        <v>1</v>
      </c>
      <c r="E15" s="43">
        <f t="shared" si="0"/>
        <v>30</v>
      </c>
      <c r="F15" s="11">
        <v>0</v>
      </c>
      <c r="G15" s="208">
        <f t="shared" si="2"/>
        <v>111.11111111111111</v>
      </c>
      <c r="H15" s="11">
        <v>13</v>
      </c>
      <c r="I15" s="11">
        <v>6</v>
      </c>
      <c r="J15" s="11">
        <v>6</v>
      </c>
      <c r="K15" s="11">
        <v>3</v>
      </c>
      <c r="L15" s="11"/>
      <c r="M15" s="11">
        <v>1</v>
      </c>
      <c r="N15" s="11">
        <v>1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9" ht="21.75" customHeight="1" x14ac:dyDescent="0.25">
      <c r="A16" s="36">
        <f t="shared" si="1"/>
        <v>135</v>
      </c>
      <c r="B16" s="37" t="s">
        <v>48</v>
      </c>
      <c r="C16" s="203">
        <f>SUM(C8:C15)</f>
        <v>428</v>
      </c>
      <c r="D16" s="203">
        <f>SUM(D8:D15)</f>
        <v>102</v>
      </c>
      <c r="E16" s="38">
        <f>SUM($E$8:$E$15)</f>
        <v>240</v>
      </c>
      <c r="F16" s="203">
        <f>SUM(F8:F15)</f>
        <v>0</v>
      </c>
      <c r="G16" s="208">
        <f t="shared" si="2"/>
        <v>45.283018867924532</v>
      </c>
      <c r="H16" s="39">
        <f>SUM(H8:H15)</f>
        <v>105</v>
      </c>
      <c r="I16" s="39">
        <f t="shared" ref="I16:AF16" si="3">SUM(I8:I15)</f>
        <v>60</v>
      </c>
      <c r="J16" s="39">
        <f t="shared" si="3"/>
        <v>30</v>
      </c>
      <c r="K16" s="39">
        <f t="shared" si="3"/>
        <v>21</v>
      </c>
      <c r="L16" s="39">
        <f t="shared" si="3"/>
        <v>9</v>
      </c>
      <c r="M16" s="39">
        <f t="shared" si="3"/>
        <v>7</v>
      </c>
      <c r="N16" s="39">
        <f t="shared" si="3"/>
        <v>4</v>
      </c>
      <c r="O16" s="39">
        <f t="shared" si="3"/>
        <v>3</v>
      </c>
      <c r="P16" s="39">
        <f t="shared" si="3"/>
        <v>1</v>
      </c>
      <c r="Q16" s="39">
        <f t="shared" si="3"/>
        <v>0</v>
      </c>
      <c r="R16" s="39">
        <f t="shared" si="3"/>
        <v>0</v>
      </c>
      <c r="S16" s="39">
        <f t="shared" si="3"/>
        <v>0</v>
      </c>
      <c r="T16" s="39">
        <f t="shared" si="3"/>
        <v>0</v>
      </c>
      <c r="U16" s="39">
        <f t="shared" si="3"/>
        <v>0</v>
      </c>
      <c r="V16" s="39">
        <f t="shared" si="3"/>
        <v>0</v>
      </c>
      <c r="W16" s="39">
        <f t="shared" si="3"/>
        <v>0</v>
      </c>
      <c r="X16" s="39">
        <f t="shared" si="3"/>
        <v>0</v>
      </c>
      <c r="Y16" s="39">
        <f t="shared" si="3"/>
        <v>0</v>
      </c>
      <c r="Z16" s="39">
        <f t="shared" si="3"/>
        <v>0</v>
      </c>
      <c r="AA16" s="39">
        <f t="shared" si="3"/>
        <v>0</v>
      </c>
      <c r="AB16" s="39">
        <f t="shared" si="3"/>
        <v>0</v>
      </c>
      <c r="AC16" s="39">
        <f t="shared" si="3"/>
        <v>0</v>
      </c>
      <c r="AD16" s="39">
        <f t="shared" si="3"/>
        <v>0</v>
      </c>
      <c r="AE16" s="39">
        <f t="shared" si="3"/>
        <v>0</v>
      </c>
      <c r="AF16" s="39">
        <f t="shared" si="3"/>
        <v>0</v>
      </c>
      <c r="AG16" s="31"/>
    </row>
    <row r="17" spans="1:33" ht="21.75" customHeight="1" x14ac:dyDescent="0.25">
      <c r="A17" s="36">
        <f t="shared" si="1"/>
        <v>135</v>
      </c>
      <c r="B17" s="103" t="s">
        <v>229</v>
      </c>
      <c r="C17" s="103"/>
      <c r="D17" s="204">
        <f>C16+D16</f>
        <v>530</v>
      </c>
      <c r="E17" s="204"/>
      <c r="F17" s="250" t="s">
        <v>57</v>
      </c>
      <c r="G17" s="251"/>
      <c r="H17" s="41">
        <f>H16</f>
        <v>105</v>
      </c>
      <c r="I17" s="41">
        <f>I16*2</f>
        <v>120</v>
      </c>
      <c r="J17" s="41">
        <f>J16*3</f>
        <v>90</v>
      </c>
      <c r="K17" s="41">
        <f>K16*4</f>
        <v>84</v>
      </c>
      <c r="L17" s="41">
        <f>L16*5</f>
        <v>45</v>
      </c>
      <c r="M17" s="41">
        <f>M16*6</f>
        <v>42</v>
      </c>
      <c r="N17" s="41">
        <f>N16*7</f>
        <v>28</v>
      </c>
      <c r="O17" s="41">
        <f>O16*8</f>
        <v>24</v>
      </c>
      <c r="P17" s="41">
        <f>P16*9</f>
        <v>9</v>
      </c>
      <c r="Q17" s="41">
        <f>Q16*10</f>
        <v>0</v>
      </c>
      <c r="R17" s="41">
        <f>R16*11</f>
        <v>0</v>
      </c>
      <c r="S17" s="41">
        <f>S16*12</f>
        <v>0</v>
      </c>
      <c r="T17" s="41">
        <f>T16*13</f>
        <v>0</v>
      </c>
      <c r="U17" s="41">
        <f>U16*14</f>
        <v>0</v>
      </c>
      <c r="V17" s="41">
        <f>V16*15</f>
        <v>0</v>
      </c>
      <c r="W17" s="41">
        <f>W16*16</f>
        <v>0</v>
      </c>
      <c r="X17" s="41">
        <f>X16*17</f>
        <v>0</v>
      </c>
      <c r="Y17" s="41">
        <f>Y16*18</f>
        <v>0</v>
      </c>
      <c r="Z17" s="41">
        <f>Z16*19</f>
        <v>0</v>
      </c>
      <c r="AA17" s="41">
        <f>AA16*20</f>
        <v>0</v>
      </c>
      <c r="AB17" s="41">
        <f>AB16*21</f>
        <v>0</v>
      </c>
      <c r="AC17" s="41">
        <f>AC16*22</f>
        <v>0</v>
      </c>
      <c r="AD17" s="41">
        <f>AD16*23</f>
        <v>0</v>
      </c>
      <c r="AE17" s="41">
        <f>AE16*24</f>
        <v>0</v>
      </c>
      <c r="AF17" s="41">
        <f>AF16*25</f>
        <v>0</v>
      </c>
      <c r="AG17" s="42">
        <f>SUM(H17:AF17)</f>
        <v>547</v>
      </c>
    </row>
    <row r="18" spans="1:33" ht="21.75" customHeight="1" x14ac:dyDescent="0.25">
      <c r="A18" s="36">
        <f t="shared" si="1"/>
        <v>135</v>
      </c>
      <c r="B18" s="40" t="str">
        <f>IF($AG$17='3_10-11е'!H52+'3_5-9е'!H52+'2_4е'!F32+'2_4е'!H32, "пройдена сверка лист 1 и 2+3", "требуется проверка!")</f>
        <v>пройдена сверка лист 1 и 2+3</v>
      </c>
      <c r="C18" s="40"/>
      <c r="D18" s="40"/>
      <c r="E18" s="40"/>
      <c r="F18" s="252" t="s">
        <v>205</v>
      </c>
      <c r="G18" s="253"/>
      <c r="H18" s="174">
        <f>H8</f>
        <v>8</v>
      </c>
      <c r="I18" s="174">
        <f>I8*2</f>
        <v>14</v>
      </c>
      <c r="J18" s="174">
        <f>J8*3</f>
        <v>0</v>
      </c>
      <c r="K18" s="174">
        <f>K8*4</f>
        <v>0</v>
      </c>
      <c r="L18" s="174">
        <f>L8*5</f>
        <v>0</v>
      </c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42">
        <f t="shared" ref="AG18:AG20" si="4">SUM(H18:AF18)</f>
        <v>22</v>
      </c>
    </row>
    <row r="19" spans="1:33" ht="21.75" customHeight="1" x14ac:dyDescent="0.25">
      <c r="A19" s="36">
        <f t="shared" si="1"/>
        <v>135</v>
      </c>
      <c r="B19" s="48"/>
      <c r="C19" s="48"/>
      <c r="D19" s="48"/>
      <c r="E19" s="48"/>
      <c r="F19" s="252" t="s">
        <v>206</v>
      </c>
      <c r="G19" s="253"/>
      <c r="H19" s="174">
        <f>SUM(H9:H13)</f>
        <v>74</v>
      </c>
      <c r="I19" s="174">
        <f>SUM(I9:I13)*2</f>
        <v>86</v>
      </c>
      <c r="J19" s="174">
        <f>SUM(J9:J13)*3</f>
        <v>57</v>
      </c>
      <c r="K19" s="174">
        <f>SUM(K9:K13)*4</f>
        <v>68</v>
      </c>
      <c r="L19" s="174">
        <f>SUM(L9:L13)*5</f>
        <v>45</v>
      </c>
      <c r="M19" s="174">
        <f>SUM(M9:M13)*6</f>
        <v>36</v>
      </c>
      <c r="N19" s="174">
        <f>SUM(N9:N13)*7</f>
        <v>21</v>
      </c>
      <c r="O19" s="174">
        <f>SUM(O9:O13)*8</f>
        <v>24</v>
      </c>
      <c r="P19" s="174">
        <f>SUM(P9:P13)*9</f>
        <v>9</v>
      </c>
      <c r="Q19" s="174">
        <f>SUM(Q9:Q13)*10</f>
        <v>0</v>
      </c>
      <c r="R19" s="174">
        <f>SUM(R9:R13)*11</f>
        <v>0</v>
      </c>
      <c r="S19" s="174">
        <f>SUM(S9:S13)*12</f>
        <v>0</v>
      </c>
      <c r="T19" s="174">
        <f>SUM(T9:T13)*13</f>
        <v>0</v>
      </c>
      <c r="U19" s="174">
        <f>SUM(U9:U13)*14</f>
        <v>0</v>
      </c>
      <c r="V19" s="174">
        <f>SUM(V9:V13)*15</f>
        <v>0</v>
      </c>
      <c r="W19" s="174">
        <f>SUM(W9:W13)*16</f>
        <v>0</v>
      </c>
      <c r="X19" s="174">
        <f>SUM(X9:X13)*17</f>
        <v>0</v>
      </c>
      <c r="Y19" s="174">
        <f>SUM(Y9:Y13)*18</f>
        <v>0</v>
      </c>
      <c r="Z19" s="174">
        <f>SUM(Z9:Z13)*19</f>
        <v>0</v>
      </c>
      <c r="AA19" s="174">
        <f>SUM(AA9:AA13)*20</f>
        <v>0</v>
      </c>
      <c r="AB19" s="174">
        <f>SUM(AB9:AB13)*21</f>
        <v>0</v>
      </c>
      <c r="AC19" s="174">
        <f>SUM(AC9:AC13)*22</f>
        <v>0</v>
      </c>
      <c r="AD19" s="174">
        <f>SUM(AD9:AD13)*23</f>
        <v>0</v>
      </c>
      <c r="AE19" s="174">
        <f>SUM(AE9:AE13)*24</f>
        <v>0</v>
      </c>
      <c r="AF19" s="174">
        <f>SUM(AF9:AF13)*12</f>
        <v>0</v>
      </c>
      <c r="AG19" s="42">
        <f t="shared" si="4"/>
        <v>420</v>
      </c>
    </row>
    <row r="20" spans="1:33" ht="21.75" customHeight="1" x14ac:dyDescent="0.25">
      <c r="A20" s="36">
        <f t="shared" si="1"/>
        <v>135</v>
      </c>
      <c r="B20" s="48"/>
      <c r="C20" s="48"/>
      <c r="D20" s="48"/>
      <c r="E20" s="48"/>
      <c r="F20" s="252" t="s">
        <v>207</v>
      </c>
      <c r="G20" s="253"/>
      <c r="H20" s="174">
        <f>SUM(H14:H15)</f>
        <v>23</v>
      </c>
      <c r="I20" s="174">
        <f>SUM(I14:I15)*2</f>
        <v>20</v>
      </c>
      <c r="J20" s="174">
        <f>SUM(J14:J15)*3</f>
        <v>33</v>
      </c>
      <c r="K20" s="174">
        <f>SUM(K14:K15)*4</f>
        <v>16</v>
      </c>
      <c r="L20" s="174">
        <f>SUM(L14:L15)*5</f>
        <v>0</v>
      </c>
      <c r="M20" s="174">
        <f>SUM(M14:M15)*6</f>
        <v>6</v>
      </c>
      <c r="N20" s="174">
        <f>SUM(N14:N15)*7</f>
        <v>7</v>
      </c>
      <c r="O20" s="174">
        <f>SUM(O14:O15)*8</f>
        <v>0</v>
      </c>
      <c r="P20" s="174">
        <f>SUM(P14:P15)*9</f>
        <v>0</v>
      </c>
      <c r="Q20" s="174">
        <f>SUM(Q14:Q15)*10</f>
        <v>0</v>
      </c>
      <c r="R20" s="174">
        <f>SUM(R14:R15)*11</f>
        <v>0</v>
      </c>
      <c r="S20" s="174">
        <f>SUM(S14:S15)*12</f>
        <v>0</v>
      </c>
      <c r="T20" s="174">
        <f>SUM(T14:T15)*13</f>
        <v>0</v>
      </c>
      <c r="U20" s="174">
        <f>SUM(U14:U15)*14</f>
        <v>0</v>
      </c>
      <c r="V20" s="174">
        <f>SUM(V14:V15)*15</f>
        <v>0</v>
      </c>
      <c r="W20" s="174">
        <f>SUM(W14:W15)*16</f>
        <v>0</v>
      </c>
      <c r="X20" s="174">
        <f>SUM(X14:X15)*17</f>
        <v>0</v>
      </c>
      <c r="Y20" s="174">
        <f>SUM(Y14:Y15)*18</f>
        <v>0</v>
      </c>
      <c r="Z20" s="174">
        <f>SUM(Z14:Z15)*19</f>
        <v>0</v>
      </c>
      <c r="AA20" s="174">
        <f>SUM(AA14:AA15)*20</f>
        <v>0</v>
      </c>
      <c r="AB20" s="174">
        <f>SUM(AB14:AB15)*21</f>
        <v>0</v>
      </c>
      <c r="AC20" s="174">
        <f>SUM(AC14:AC15)*22</f>
        <v>0</v>
      </c>
      <c r="AD20" s="174">
        <f>SUM(AD14:AD15)*23</f>
        <v>0</v>
      </c>
      <c r="AE20" s="174">
        <f>SUM(AE14:AE15)*24</f>
        <v>0</v>
      </c>
      <c r="AF20" s="174">
        <f>SUM(AF14:AF15)*25</f>
        <v>0</v>
      </c>
      <c r="AG20" s="42">
        <f t="shared" si="4"/>
        <v>105</v>
      </c>
    </row>
    <row r="21" spans="1:33" ht="15.75" x14ac:dyDescent="0.25">
      <c r="A21" s="220"/>
      <c r="B21" s="8"/>
      <c r="C21" s="8"/>
      <c r="D21" s="8"/>
      <c r="E21" s="8"/>
    </row>
    <row r="22" spans="1:33" ht="15.75" x14ac:dyDescent="0.25">
      <c r="A22" s="220"/>
      <c r="B22" s="8"/>
      <c r="C22" s="8"/>
      <c r="D22" s="8"/>
      <c r="E22" s="8"/>
    </row>
    <row r="23" spans="1:33" ht="15.75" x14ac:dyDescent="0.25">
      <c r="A23" s="220"/>
      <c r="B23" s="8"/>
      <c r="C23" s="8"/>
      <c r="D23" s="8"/>
      <c r="E23" s="8"/>
    </row>
    <row r="25" spans="1:33" ht="18" customHeight="1" x14ac:dyDescent="0.35">
      <c r="B25" s="221" t="s">
        <v>162</v>
      </c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</row>
    <row r="27" spans="1:33" ht="37.5" customHeight="1" x14ac:dyDescent="0.25">
      <c r="B27" s="222" t="s">
        <v>151</v>
      </c>
      <c r="C27" s="222"/>
      <c r="D27" s="223"/>
      <c r="E27" s="223"/>
      <c r="F27" s="101" t="s">
        <v>247</v>
      </c>
      <c r="G27" s="101"/>
      <c r="H27" s="101" t="s">
        <v>248</v>
      </c>
      <c r="I27" s="101"/>
      <c r="J27" s="101" t="s">
        <v>250</v>
      </c>
      <c r="K27" s="101" t="s">
        <v>249</v>
      </c>
      <c r="L27" s="101"/>
      <c r="M27" s="101"/>
    </row>
    <row r="28" spans="1:33" ht="37.5" customHeight="1" x14ac:dyDescent="0.25">
      <c r="B28" s="222" t="s">
        <v>152</v>
      </c>
      <c r="C28" s="222"/>
      <c r="D28" s="223"/>
      <c r="E28" s="223"/>
      <c r="F28" s="102"/>
      <c r="G28" s="102">
        <v>89043590739</v>
      </c>
      <c r="H28" s="102"/>
      <c r="I28" s="102"/>
      <c r="J28" s="102"/>
      <c r="K28" s="102"/>
      <c r="L28" s="102"/>
      <c r="M28" s="102"/>
    </row>
    <row r="29" spans="1:33" x14ac:dyDescent="0.25">
      <c r="B29" s="224"/>
      <c r="C29" s="224"/>
    </row>
  </sheetData>
  <sheetProtection password="CA9D" sheet="1" objects="1" scenarios="1" formatCells="0" formatColumns="0" formatRows="0"/>
  <mergeCells count="4">
    <mergeCell ref="F17:G17"/>
    <mergeCell ref="F18:G18"/>
    <mergeCell ref="F19:G19"/>
    <mergeCell ref="F20:G20"/>
  </mergeCells>
  <conditionalFormatting sqref="B18:C23">
    <cfRule type="containsText" dxfId="24" priority="1" operator="containsText" text="требуется">
      <formula>NOT(ISERROR(SEARCH("требуется",B18)))</formula>
    </cfRule>
  </conditionalFormatting>
  <dataValidations count="1">
    <dataValidation type="list" allowBlank="1" showInputMessage="1" showErrorMessage="1" sqref="I1">
      <formula1>etap</formula1>
    </dataValidation>
  </dataValidations>
  <pageMargins left="0.31496062992125984" right="0.11811023622047245" top="0.35433070866141736" bottom="0.15748031496062992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opLeftCell="A19" workbookViewId="0">
      <selection activeCell="L36" sqref="L36"/>
    </sheetView>
  </sheetViews>
  <sheetFormatPr defaultRowHeight="15" x14ac:dyDescent="0.25"/>
  <cols>
    <col min="1" max="1" width="17.42578125" style="1" customWidth="1"/>
    <col min="2" max="2" width="15.28515625" style="1" customWidth="1"/>
    <col min="3" max="3" width="17.28515625" style="1" customWidth="1"/>
    <col min="4" max="4" width="15.28515625" style="1" customWidth="1"/>
    <col min="5" max="5" width="19.7109375" style="1" customWidth="1"/>
    <col min="6" max="6" width="15.7109375" style="1" customWidth="1"/>
    <col min="7" max="7" width="11.140625" style="1" customWidth="1"/>
    <col min="8" max="8" width="8.85546875" style="1" customWidth="1"/>
    <col min="9" max="9" width="10.7109375" style="1" bestFit="1" customWidth="1"/>
    <col min="10" max="10" width="16.42578125" style="1" customWidth="1"/>
    <col min="11" max="11" width="13.42578125" style="1" customWidth="1"/>
    <col min="12" max="12" width="15.42578125" style="1" customWidth="1"/>
    <col min="13" max="18" width="13.42578125" style="1" customWidth="1"/>
    <col min="19" max="19" width="11.140625" style="1" bestFit="1" customWidth="1"/>
    <col min="20" max="20" width="9.85546875" style="1" bestFit="1" customWidth="1"/>
    <col min="21" max="21" width="10.28515625" style="1" customWidth="1"/>
    <col min="22" max="16384" width="9.140625" style="1"/>
  </cols>
  <sheetData>
    <row r="1" spans="1:26" s="5" customFormat="1" ht="31.5" customHeight="1" x14ac:dyDescent="0.3">
      <c r="A1" s="27" t="s">
        <v>71</v>
      </c>
      <c r="B1" s="226">
        <f>'1'!$B$1</f>
        <v>135</v>
      </c>
      <c r="C1" s="226"/>
      <c r="D1" s="226"/>
      <c r="E1" s="139"/>
      <c r="F1" s="138" t="str">
        <f>VLOOKUP(B1,mouo,2,0)</f>
        <v>Сонковский район</v>
      </c>
      <c r="G1" s="28"/>
      <c r="H1" s="28"/>
      <c r="I1" s="28"/>
      <c r="J1" s="29"/>
      <c r="K1" s="29"/>
      <c r="L1" s="227" t="str">
        <f>'1'!$I$1</f>
        <v>школьный этап</v>
      </c>
      <c r="M1" s="137"/>
      <c r="N1" s="137"/>
      <c r="O1" s="137"/>
      <c r="P1" s="137"/>
      <c r="R1" s="128"/>
      <c r="S1" s="128"/>
      <c r="T1" s="128"/>
      <c r="U1" s="128"/>
    </row>
    <row r="2" spans="1:26" s="5" customFormat="1" ht="15.75" x14ac:dyDescent="0.25">
      <c r="A2" s="27"/>
      <c r="B2" s="49" t="s">
        <v>73</v>
      </c>
      <c r="C2" s="49"/>
      <c r="D2" s="49"/>
      <c r="E2" s="140"/>
      <c r="F2" s="46"/>
      <c r="G2" s="46"/>
      <c r="H2" s="46"/>
      <c r="I2" s="46"/>
      <c r="J2" s="46"/>
      <c r="K2" s="46"/>
      <c r="L2" s="49" t="s">
        <v>73</v>
      </c>
      <c r="N2" s="136"/>
      <c r="O2" s="136"/>
      <c r="P2" s="8"/>
      <c r="R2" s="128"/>
      <c r="S2" s="128"/>
    </row>
    <row r="3" spans="1:26" s="56" customFormat="1" ht="18.75" x14ac:dyDescent="0.3">
      <c r="A3" s="14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6" s="56" customFormat="1" ht="18.75" x14ac:dyDescent="0.3">
      <c r="A4" s="146" t="s">
        <v>199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6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26" s="60" customFormat="1" ht="43.5" customHeight="1" x14ac:dyDescent="0.25">
      <c r="A6" s="157" t="s">
        <v>192</v>
      </c>
      <c r="B6" s="158"/>
      <c r="C6" s="158"/>
      <c r="D6" s="158"/>
      <c r="E6" s="158"/>
      <c r="F6" s="158"/>
      <c r="G6" s="18">
        <v>7</v>
      </c>
      <c r="S6" s="63"/>
    </row>
    <row r="7" spans="1:26" s="60" customFormat="1" ht="27" customHeight="1" x14ac:dyDescent="0.25">
      <c r="A7" s="156" t="s">
        <v>195</v>
      </c>
      <c r="G7" s="18">
        <v>7</v>
      </c>
      <c r="S7" s="63"/>
    </row>
    <row r="8" spans="1:26" s="60" customFormat="1" ht="15.75" x14ac:dyDescent="0.25">
      <c r="A8" s="159"/>
      <c r="B8" s="63"/>
      <c r="C8" s="63"/>
      <c r="D8" s="63"/>
      <c r="E8" s="63"/>
      <c r="F8" s="63"/>
      <c r="G8" s="160"/>
      <c r="H8" s="63"/>
      <c r="S8" s="63"/>
    </row>
    <row r="9" spans="1:26" s="60" customFormat="1" ht="15.75" x14ac:dyDescent="0.25">
      <c r="A9" s="159"/>
      <c r="B9" s="63"/>
      <c r="C9" s="63"/>
      <c r="D9" s="63"/>
      <c r="E9" s="63"/>
      <c r="F9" s="63"/>
      <c r="G9" s="161"/>
      <c r="H9" s="63"/>
    </row>
    <row r="10" spans="1:26" s="60" customFormat="1" ht="15.75" x14ac:dyDescent="0.25">
      <c r="B10" s="58"/>
      <c r="C10" s="64" t="s">
        <v>67</v>
      </c>
      <c r="D10" s="58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1:26" s="60" customFormat="1" ht="15.75" x14ac:dyDescent="0.25">
      <c r="B11" s="58"/>
      <c r="E11" s="65" t="s">
        <v>64</v>
      </c>
      <c r="F11" s="65" t="s">
        <v>63</v>
      </c>
      <c r="G11" s="65" t="s">
        <v>68</v>
      </c>
      <c r="I11" s="115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s="60" customFormat="1" ht="15.75" x14ac:dyDescent="0.25">
      <c r="B12" s="58"/>
      <c r="C12" s="61" t="s">
        <v>236</v>
      </c>
      <c r="E12" s="9">
        <v>162</v>
      </c>
      <c r="F12" s="9">
        <v>36</v>
      </c>
      <c r="G12" s="66">
        <f>SUM(E12:F12)</f>
        <v>198</v>
      </c>
      <c r="I12" s="115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s="60" customFormat="1" ht="15.75" x14ac:dyDescent="0.25">
      <c r="C13" s="61" t="s">
        <v>118</v>
      </c>
      <c r="E13" s="9">
        <v>57</v>
      </c>
      <c r="F13" s="9">
        <v>15</v>
      </c>
      <c r="G13" s="164">
        <f>SUM(E13:F13)</f>
        <v>72</v>
      </c>
      <c r="I13" s="104" t="s">
        <v>196</v>
      </c>
      <c r="K13" s="40" t="str">
        <f>IF(G13='1'!C8+'1'!D8,"пройдена сверка лист 1 и 2", "требуется проверка")</f>
        <v>пройдена сверка лист 1 и 2</v>
      </c>
      <c r="N13" s="63"/>
      <c r="O13" s="63"/>
      <c r="P13" s="63"/>
      <c r="Q13" s="48"/>
      <c r="R13" s="48"/>
      <c r="S13" s="123"/>
      <c r="T13" s="97"/>
      <c r="U13" s="97"/>
      <c r="V13" s="97"/>
      <c r="W13" s="63"/>
      <c r="X13" s="63"/>
      <c r="Y13" s="63"/>
      <c r="Z13" s="63"/>
    </row>
    <row r="14" spans="1:26" s="60" customFormat="1" ht="15.75" x14ac:dyDescent="0.25">
      <c r="A14" s="61"/>
      <c r="E14" s="228"/>
      <c r="F14" s="228"/>
      <c r="G14" s="66">
        <f>SUM(E14:F14)</f>
        <v>0</v>
      </c>
      <c r="I14" s="97"/>
      <c r="K14" s="98"/>
      <c r="M14" s="48"/>
      <c r="N14" s="63"/>
      <c r="O14" s="63"/>
      <c r="P14" s="63"/>
      <c r="Q14" s="48"/>
      <c r="R14" s="48"/>
      <c r="S14" s="123"/>
      <c r="T14" s="98"/>
      <c r="U14" s="98"/>
      <c r="V14" s="98"/>
      <c r="W14" s="63"/>
      <c r="X14" s="63"/>
      <c r="Y14" s="63"/>
      <c r="Z14" s="63"/>
    </row>
    <row r="15" spans="1:26" s="60" customFormat="1" ht="15.75" x14ac:dyDescent="0.25">
      <c r="A15" s="111"/>
      <c r="E15" s="228"/>
      <c r="F15" s="228"/>
      <c r="G15" s="66">
        <f>SUM(E15:F15)</f>
        <v>0</v>
      </c>
      <c r="I15" s="97"/>
      <c r="K15" s="98"/>
      <c r="M15" s="48"/>
      <c r="N15" s="63"/>
      <c r="O15" s="63"/>
      <c r="P15" s="63"/>
      <c r="Q15" s="48"/>
      <c r="R15" s="48"/>
      <c r="S15" s="123"/>
      <c r="T15" s="98"/>
      <c r="U15" s="98"/>
      <c r="V15" s="98"/>
      <c r="W15" s="63"/>
      <c r="X15" s="63"/>
    </row>
    <row r="16" spans="1:26" s="60" customFormat="1" ht="15.75" x14ac:dyDescent="0.25">
      <c r="A16" s="162" t="s">
        <v>194</v>
      </c>
      <c r="B16" s="124"/>
      <c r="C16" s="124"/>
      <c r="D16" s="124"/>
      <c r="E16" s="228"/>
      <c r="F16" s="228"/>
      <c r="G16" s="112"/>
      <c r="N16" s="63"/>
      <c r="O16" s="63"/>
      <c r="P16" s="63"/>
      <c r="Q16" s="48"/>
      <c r="R16" s="48"/>
      <c r="S16" s="123"/>
      <c r="T16" s="98"/>
      <c r="U16" s="98"/>
      <c r="V16" s="98"/>
      <c r="W16" s="63"/>
      <c r="X16" s="63"/>
    </row>
    <row r="17" spans="1:24" s="60" customFormat="1" ht="15.75" x14ac:dyDescent="0.25">
      <c r="A17" s="124"/>
      <c r="B17" s="124"/>
      <c r="C17" s="125" t="s">
        <v>193</v>
      </c>
      <c r="D17" s="124"/>
      <c r="E17" s="9">
        <v>7</v>
      </c>
      <c r="F17" s="9">
        <v>0</v>
      </c>
      <c r="G17" s="164">
        <f>SUM(E17:F17)</f>
        <v>7</v>
      </c>
      <c r="I17" s="104" t="s">
        <v>196</v>
      </c>
      <c r="K17" s="40" t="str">
        <f>IF(G17=SUM('1'!I8:AF8),"пройдена сверка лист 1 и 2", "требуется проверка")</f>
        <v>пройдена сверка лист 1 и 2</v>
      </c>
      <c r="N17" s="63"/>
      <c r="O17" s="63"/>
      <c r="P17" s="63"/>
      <c r="Q17" s="48"/>
      <c r="R17" s="48"/>
      <c r="S17" s="123"/>
      <c r="T17" s="98"/>
      <c r="U17" s="98"/>
      <c r="V17" s="98"/>
      <c r="W17" s="63"/>
      <c r="X17" s="63"/>
    </row>
    <row r="18" spans="1:24" s="60" customFormat="1" ht="15.75" x14ac:dyDescent="0.25">
      <c r="A18" s="124"/>
      <c r="B18" s="125"/>
      <c r="C18" s="124"/>
      <c r="D18" s="124"/>
      <c r="E18" s="228"/>
      <c r="F18" s="228"/>
      <c r="G18" s="66">
        <f>SUM(E18:F18)</f>
        <v>0</v>
      </c>
      <c r="N18" s="63"/>
      <c r="O18" s="63"/>
      <c r="P18" s="63"/>
      <c r="Q18" s="48"/>
      <c r="R18" s="48"/>
      <c r="S18" s="123"/>
      <c r="T18" s="98"/>
      <c r="U18" s="98"/>
      <c r="V18" s="98"/>
      <c r="W18" s="63"/>
      <c r="X18" s="63"/>
    </row>
    <row r="19" spans="1:24" s="60" customFormat="1" ht="15.75" x14ac:dyDescent="0.25">
      <c r="A19" s="127"/>
      <c r="B19" s="127"/>
      <c r="C19" s="127"/>
      <c r="D19" s="124"/>
      <c r="E19" s="228"/>
      <c r="F19" s="228"/>
      <c r="G19" s="66">
        <f>SUM(E19:F19)</f>
        <v>0</v>
      </c>
      <c r="N19" s="47"/>
      <c r="O19" s="63"/>
      <c r="P19" s="63"/>
      <c r="Q19" s="48"/>
      <c r="R19" s="48"/>
      <c r="S19" s="123"/>
      <c r="T19" s="98"/>
      <c r="U19" s="98"/>
      <c r="V19" s="98"/>
      <c r="W19" s="63"/>
      <c r="X19" s="63"/>
    </row>
    <row r="20" spans="1:24" s="60" customFormat="1" ht="15.75" x14ac:dyDescent="0.25">
      <c r="A20" s="163" t="s">
        <v>69</v>
      </c>
      <c r="C20" s="67"/>
      <c r="E20" s="228"/>
      <c r="F20" s="228"/>
      <c r="G20" s="112"/>
      <c r="N20" s="63"/>
      <c r="O20" s="63"/>
      <c r="P20" s="98"/>
      <c r="Q20" s="98"/>
      <c r="R20" s="98"/>
      <c r="S20" s="98"/>
      <c r="T20" s="98"/>
      <c r="U20" s="98"/>
      <c r="V20" s="98"/>
      <c r="W20" s="63"/>
      <c r="X20" s="63"/>
    </row>
    <row r="21" spans="1:24" s="60" customFormat="1" ht="15.75" x14ac:dyDescent="0.25">
      <c r="A21" s="61"/>
      <c r="C21" s="159" t="s">
        <v>237</v>
      </c>
      <c r="D21" s="98"/>
      <c r="E21" s="9">
        <v>0</v>
      </c>
      <c r="F21" s="9">
        <v>0</v>
      </c>
      <c r="G21" s="66">
        <f>SUM(E21:F21)</f>
        <v>0</v>
      </c>
      <c r="I21" s="67"/>
      <c r="N21" s="63"/>
      <c r="O21" s="63"/>
      <c r="P21" s="98"/>
      <c r="Q21" s="98"/>
      <c r="R21" s="98"/>
      <c r="S21" s="98"/>
      <c r="T21" s="98"/>
      <c r="U21" s="98"/>
      <c r="V21" s="98"/>
      <c r="W21" s="63"/>
      <c r="X21" s="63"/>
    </row>
    <row r="22" spans="1:24" s="60" customFormat="1" ht="15.75" x14ac:dyDescent="0.25">
      <c r="A22" s="61"/>
      <c r="E22" s="228"/>
      <c r="F22" s="228"/>
      <c r="G22" s="66">
        <f>SUM(E22:F22)</f>
        <v>0</v>
      </c>
      <c r="I22" s="67"/>
      <c r="P22" s="67"/>
      <c r="Q22" s="67"/>
      <c r="R22" s="67"/>
      <c r="S22" s="67"/>
      <c r="T22" s="67"/>
      <c r="U22" s="67"/>
      <c r="V22" s="67"/>
      <c r="W22" s="63"/>
    </row>
    <row r="23" spans="1:24" s="60" customFormat="1" ht="15.75" x14ac:dyDescent="0.25">
      <c r="A23" s="135"/>
      <c r="B23" s="135"/>
      <c r="E23" s="228"/>
      <c r="F23" s="228"/>
      <c r="G23" s="66">
        <f>SUM(E23:F23)</f>
        <v>0</v>
      </c>
      <c r="I23" s="67"/>
      <c r="P23" s="67"/>
      <c r="Q23" s="67"/>
      <c r="R23" s="67"/>
      <c r="S23" s="67"/>
      <c r="T23" s="67"/>
      <c r="U23" s="67"/>
      <c r="V23" s="67"/>
      <c r="W23" s="63"/>
    </row>
    <row r="24" spans="1:24" x14ac:dyDescent="0.25">
      <c r="A24" s="13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24" s="6" customFormat="1" ht="18.75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24" ht="63.75" customHeight="1" x14ac:dyDescent="0.3">
      <c r="A26" s="50"/>
      <c r="B26" s="31"/>
      <c r="C26" s="193" t="s">
        <v>228</v>
      </c>
      <c r="D26" s="194"/>
      <c r="E26" s="195"/>
      <c r="F26" s="51" t="s">
        <v>166</v>
      </c>
      <c r="G26" s="51"/>
      <c r="H26" s="52"/>
      <c r="I26" s="52"/>
      <c r="J26" s="51" t="s">
        <v>2</v>
      </c>
      <c r="K26" s="51"/>
      <c r="L26" s="52"/>
      <c r="M26" s="52"/>
      <c r="N26" s="51" t="s">
        <v>3</v>
      </c>
      <c r="O26" s="51"/>
      <c r="P26" s="52"/>
      <c r="Q26" s="52"/>
      <c r="R26" s="254" t="s">
        <v>56</v>
      </c>
      <c r="S26" s="254"/>
      <c r="T26" s="254"/>
      <c r="U26" s="254"/>
    </row>
    <row r="27" spans="1:24" ht="15" customHeight="1" x14ac:dyDescent="0.3">
      <c r="A27" s="50"/>
      <c r="B27" s="196"/>
      <c r="C27" s="190"/>
      <c r="D27" s="191"/>
      <c r="E27" s="192"/>
      <c r="F27" s="120" t="s">
        <v>64</v>
      </c>
      <c r="G27" s="120"/>
      <c r="H27" s="121" t="s">
        <v>63</v>
      </c>
      <c r="I27" s="122"/>
      <c r="J27" s="120" t="s">
        <v>64</v>
      </c>
      <c r="K27" s="120"/>
      <c r="L27" s="121" t="s">
        <v>63</v>
      </c>
      <c r="M27" s="122"/>
      <c r="N27" s="120" t="s">
        <v>64</v>
      </c>
      <c r="O27" s="120"/>
      <c r="P27" s="121" t="s">
        <v>63</v>
      </c>
      <c r="Q27" s="122"/>
      <c r="R27" s="120" t="s">
        <v>64</v>
      </c>
      <c r="S27" s="120"/>
      <c r="T27" s="121" t="s">
        <v>63</v>
      </c>
      <c r="U27" s="122"/>
    </row>
    <row r="28" spans="1:24" ht="72" customHeight="1" x14ac:dyDescent="0.25">
      <c r="A28" s="45" t="s">
        <v>74</v>
      </c>
      <c r="B28" s="187" t="s">
        <v>1</v>
      </c>
      <c r="C28" s="188" t="s">
        <v>232</v>
      </c>
      <c r="D28" s="188" t="s">
        <v>230</v>
      </c>
      <c r="E28" s="188" t="s">
        <v>231</v>
      </c>
      <c r="F28" s="133" t="s">
        <v>165</v>
      </c>
      <c r="G28" s="133" t="s">
        <v>167</v>
      </c>
      <c r="H28" s="133" t="s">
        <v>165</v>
      </c>
      <c r="I28" s="133" t="s">
        <v>167</v>
      </c>
      <c r="J28" s="133" t="s">
        <v>165</v>
      </c>
      <c r="K28" s="133" t="s">
        <v>167</v>
      </c>
      <c r="L28" s="133" t="s">
        <v>165</v>
      </c>
      <c r="M28" s="133" t="s">
        <v>167</v>
      </c>
      <c r="N28" s="133" t="s">
        <v>165</v>
      </c>
      <c r="O28" s="133" t="s">
        <v>167</v>
      </c>
      <c r="P28" s="133" t="s">
        <v>165</v>
      </c>
      <c r="Q28" s="133" t="s">
        <v>167</v>
      </c>
      <c r="R28" s="133" t="s">
        <v>165</v>
      </c>
      <c r="S28" s="133" t="s">
        <v>167</v>
      </c>
      <c r="T28" s="133" t="s">
        <v>165</v>
      </c>
      <c r="U28" s="133" t="s">
        <v>167</v>
      </c>
    </row>
    <row r="29" spans="1:24" ht="14.25" customHeight="1" x14ac:dyDescent="0.25">
      <c r="A29" s="34" t="s">
        <v>73</v>
      </c>
      <c r="B29" s="197"/>
      <c r="C29" s="228"/>
      <c r="D29" s="228"/>
      <c r="E29" s="228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66" t="s">
        <v>73</v>
      </c>
      <c r="S29" s="166" t="s">
        <v>73</v>
      </c>
      <c r="T29" s="166" t="s">
        <v>73</v>
      </c>
      <c r="U29" s="166" t="s">
        <v>73</v>
      </c>
    </row>
    <row r="30" spans="1:24" ht="26.25" customHeight="1" x14ac:dyDescent="0.25">
      <c r="A30" s="54">
        <f>$B$1</f>
        <v>135</v>
      </c>
      <c r="B30" s="129" t="s">
        <v>20</v>
      </c>
      <c r="C30" s="228"/>
      <c r="D30" s="228"/>
      <c r="E30" s="228"/>
      <c r="F30" s="177">
        <v>6</v>
      </c>
      <c r="G30" s="177">
        <v>1</v>
      </c>
      <c r="H30" s="178">
        <v>5</v>
      </c>
      <c r="I30" s="179">
        <v>0</v>
      </c>
      <c r="J30" s="177">
        <v>0</v>
      </c>
      <c r="K30" s="177">
        <v>0</v>
      </c>
      <c r="L30" s="178">
        <v>2</v>
      </c>
      <c r="M30" s="179">
        <v>0</v>
      </c>
      <c r="N30" s="177">
        <v>0</v>
      </c>
      <c r="O30" s="177">
        <v>0</v>
      </c>
      <c r="P30" s="178">
        <v>0</v>
      </c>
      <c r="Q30" s="179">
        <v>0</v>
      </c>
      <c r="R30" s="167">
        <f t="shared" ref="R30:U31" si="0">J30+N30</f>
        <v>0</v>
      </c>
      <c r="S30" s="167">
        <f t="shared" si="0"/>
        <v>0</v>
      </c>
      <c r="T30" s="229">
        <f t="shared" si="0"/>
        <v>2</v>
      </c>
      <c r="U30" s="230">
        <f t="shared" si="0"/>
        <v>0</v>
      </c>
    </row>
    <row r="31" spans="1:24" ht="26.25" customHeight="1" x14ac:dyDescent="0.25">
      <c r="A31" s="54">
        <f t="shared" ref="A31:A32" si="1">$B$1</f>
        <v>135</v>
      </c>
      <c r="B31" s="129" t="s">
        <v>4</v>
      </c>
      <c r="C31" s="228"/>
      <c r="D31" s="228"/>
      <c r="E31" s="228"/>
      <c r="F31" s="177">
        <v>7</v>
      </c>
      <c r="G31" s="177">
        <v>1</v>
      </c>
      <c r="H31" s="178">
        <v>4</v>
      </c>
      <c r="I31" s="179">
        <v>0</v>
      </c>
      <c r="J31" s="177">
        <v>2</v>
      </c>
      <c r="K31" s="177">
        <v>0</v>
      </c>
      <c r="L31" s="178">
        <v>2</v>
      </c>
      <c r="M31" s="179">
        <v>0</v>
      </c>
      <c r="N31" s="177">
        <v>6</v>
      </c>
      <c r="O31" s="177">
        <v>1</v>
      </c>
      <c r="P31" s="178">
        <v>2</v>
      </c>
      <c r="Q31" s="179">
        <v>0</v>
      </c>
      <c r="R31" s="167">
        <f t="shared" si="0"/>
        <v>8</v>
      </c>
      <c r="S31" s="167">
        <f t="shared" si="0"/>
        <v>1</v>
      </c>
      <c r="T31" s="229">
        <f t="shared" si="0"/>
        <v>4</v>
      </c>
      <c r="U31" s="230">
        <f t="shared" si="0"/>
        <v>0</v>
      </c>
    </row>
    <row r="32" spans="1:24" ht="30" customHeight="1" x14ac:dyDescent="0.35">
      <c r="A32" s="54">
        <f t="shared" si="1"/>
        <v>135</v>
      </c>
      <c r="B32" s="130" t="s">
        <v>70</v>
      </c>
      <c r="C32" s="231">
        <v>1</v>
      </c>
      <c r="D32" s="231">
        <v>8</v>
      </c>
      <c r="E32" s="232">
        <v>7</v>
      </c>
      <c r="F32" s="165">
        <f t="shared" ref="F32:U32" si="2">SUM(F30:F31)</f>
        <v>13</v>
      </c>
      <c r="G32" s="131">
        <f t="shared" si="2"/>
        <v>2</v>
      </c>
      <c r="H32" s="165">
        <f t="shared" si="2"/>
        <v>9</v>
      </c>
      <c r="I32" s="132">
        <f t="shared" si="2"/>
        <v>0</v>
      </c>
      <c r="J32" s="131">
        <f t="shared" si="2"/>
        <v>2</v>
      </c>
      <c r="K32" s="131">
        <f t="shared" si="2"/>
        <v>0</v>
      </c>
      <c r="L32" s="132">
        <f t="shared" si="2"/>
        <v>4</v>
      </c>
      <c r="M32" s="132">
        <f t="shared" si="2"/>
        <v>0</v>
      </c>
      <c r="N32" s="131">
        <f t="shared" si="2"/>
        <v>6</v>
      </c>
      <c r="O32" s="131">
        <f t="shared" si="2"/>
        <v>1</v>
      </c>
      <c r="P32" s="132">
        <f t="shared" si="2"/>
        <v>2</v>
      </c>
      <c r="Q32" s="132">
        <f t="shared" si="2"/>
        <v>0</v>
      </c>
      <c r="R32" s="131">
        <f t="shared" si="2"/>
        <v>8</v>
      </c>
      <c r="S32" s="131">
        <f t="shared" si="2"/>
        <v>1</v>
      </c>
      <c r="T32" s="132">
        <f t="shared" si="2"/>
        <v>6</v>
      </c>
      <c r="U32" s="132">
        <f t="shared" si="2"/>
        <v>0</v>
      </c>
    </row>
    <row r="33" spans="1:21" ht="39.75" customHeight="1" x14ac:dyDescent="0.25">
      <c r="A33" s="31"/>
      <c r="B33" s="247"/>
      <c r="C33" s="247"/>
      <c r="D33" s="248" t="s">
        <v>197</v>
      </c>
      <c r="E33" s="40">
        <f>D32+E32</f>
        <v>15</v>
      </c>
      <c r="F33" s="248" t="s">
        <v>197</v>
      </c>
      <c r="G33" s="247"/>
      <c r="H33" s="40">
        <f>F32+H32</f>
        <v>22</v>
      </c>
      <c r="I33" s="247"/>
      <c r="J33" s="247"/>
      <c r="K33" s="247"/>
      <c r="L33" s="247"/>
      <c r="M33" s="247"/>
      <c r="N33" s="247"/>
      <c r="O33" s="247"/>
      <c r="P33" s="31"/>
      <c r="Q33" s="31"/>
      <c r="R33" s="31"/>
      <c r="S33" s="31"/>
      <c r="T33" s="31">
        <f>R32+T32</f>
        <v>14</v>
      </c>
      <c r="U33" s="31"/>
    </row>
    <row r="34" spans="1:21" x14ac:dyDescent="0.25">
      <c r="A34" s="31"/>
      <c r="B34" s="31"/>
      <c r="C34" s="31"/>
      <c r="D34" s="40" t="str">
        <f>IF(E33='1'!E8,"пройдена сверка лист 1 и 2", "требуется проверка")</f>
        <v>пройдена сверка лист 1 и 2</v>
      </c>
      <c r="E34" s="31"/>
      <c r="F34" s="40" t="str">
        <f>IF('1'!AG18=H33,"пройдена сверка лист 1 и 2", "требуется проверка")</f>
        <v>пройдена сверка лист 1 и 2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5">
      <c r="J35" s="85"/>
    </row>
  </sheetData>
  <sheetProtection password="CA9D" sheet="1" objects="1" scenarios="1" formatCells="0" formatColumns="0" formatRows="0"/>
  <mergeCells count="1">
    <mergeCell ref="R26:U26"/>
  </mergeCells>
  <conditionalFormatting sqref="Q13:R19 K13 M14:M15 K17">
    <cfRule type="containsText" dxfId="23" priority="7" operator="containsText" text="требуется">
      <formula>NOT(ISERROR(SEARCH("требуется",K13)))</formula>
    </cfRule>
  </conditionalFormatting>
  <conditionalFormatting sqref="F34">
    <cfRule type="containsText" dxfId="22" priority="5" operator="containsText" text="требуется">
      <formula>NOT(ISERROR(SEARCH("требуется",F34)))</formula>
    </cfRule>
  </conditionalFormatting>
  <conditionalFormatting sqref="H33">
    <cfRule type="containsText" dxfId="21" priority="4" operator="containsText" text="требуется">
      <formula>NOT(ISERROR(SEARCH("требуется",H33)))</formula>
    </cfRule>
  </conditionalFormatting>
  <conditionalFormatting sqref="E33">
    <cfRule type="containsText" dxfId="20" priority="3" operator="containsText" text="требуется">
      <formula>NOT(ISERROR(SEARCH("требуется",E33)))</formula>
    </cfRule>
  </conditionalFormatting>
  <conditionalFormatting sqref="D34">
    <cfRule type="containsText" dxfId="19" priority="2" operator="containsText" text="требуется">
      <formula>NOT(ISERROR(SEARCH("требуется",D34)))</formula>
    </cfRule>
  </conditionalFormatting>
  <dataValidations count="1">
    <dataValidation type="list" allowBlank="1" showInputMessage="1" showErrorMessage="1" sqref="L1">
      <formula1>etap</formula1>
    </dataValidation>
  </dataValidations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topLeftCell="B22" workbookViewId="0">
      <selection activeCell="I20" sqref="I20"/>
    </sheetView>
  </sheetViews>
  <sheetFormatPr defaultRowHeight="15" x14ac:dyDescent="0.25"/>
  <cols>
    <col min="1" max="1" width="9.140625" style="46"/>
    <col min="2" max="2" width="10.85546875" style="58" customWidth="1"/>
    <col min="3" max="3" width="25.85546875" style="46" customWidth="1"/>
    <col min="4" max="4" width="21.5703125" style="46" customWidth="1"/>
    <col min="5" max="5" width="9.7109375" style="46" customWidth="1"/>
    <col min="6" max="6" width="10.5703125" style="46" customWidth="1"/>
    <col min="7" max="7" width="9.42578125" style="46" customWidth="1"/>
    <col min="8" max="9" width="7.7109375" style="46" customWidth="1"/>
    <col min="10" max="10" width="11.42578125" style="46" customWidth="1"/>
    <col min="11" max="11" width="9.85546875" style="46" customWidth="1"/>
    <col min="12" max="13" width="8.7109375" style="46" customWidth="1"/>
    <col min="14" max="14" width="6.7109375" style="46" customWidth="1"/>
    <col min="15" max="15" width="8.42578125" style="46" customWidth="1"/>
    <col min="16" max="16" width="7.7109375" style="46" customWidth="1"/>
    <col min="17" max="17" width="12.140625" style="46" customWidth="1"/>
    <col min="18" max="18" width="14.42578125" style="46" customWidth="1"/>
    <col min="19" max="21" width="12.140625" style="46" customWidth="1"/>
    <col min="22" max="16384" width="9.140625" style="46"/>
  </cols>
  <sheetData>
    <row r="1" spans="1:24" s="5" customFormat="1" ht="31.5" customHeight="1" x14ac:dyDescent="0.3">
      <c r="A1" s="27" t="s">
        <v>71</v>
      </c>
      <c r="B1" s="226">
        <f>'1'!$B$1</f>
        <v>135</v>
      </c>
      <c r="C1" s="139"/>
      <c r="D1" s="138" t="str">
        <f>VLOOKUP(B1,mouo,2,0)</f>
        <v>Сонковский район</v>
      </c>
      <c r="E1" s="28"/>
      <c r="F1" s="28"/>
      <c r="G1" s="28"/>
      <c r="H1" s="29"/>
      <c r="I1" s="29"/>
      <c r="J1" s="227" t="str">
        <f>'1'!$I$1</f>
        <v>школьный этап</v>
      </c>
      <c r="K1" s="137"/>
      <c r="L1" s="137"/>
      <c r="M1" s="137"/>
      <c r="N1" s="137"/>
      <c r="P1" s="128"/>
      <c r="Q1" s="128"/>
      <c r="R1" s="128"/>
      <c r="S1" s="128"/>
    </row>
    <row r="2" spans="1:24" s="5" customFormat="1" ht="15.75" x14ac:dyDescent="0.25">
      <c r="A2" s="27"/>
      <c r="B2" s="49" t="s">
        <v>73</v>
      </c>
      <c r="C2" s="140"/>
      <c r="D2" s="46"/>
      <c r="E2" s="46"/>
      <c r="F2" s="46"/>
      <c r="G2" s="46"/>
      <c r="H2" s="46"/>
      <c r="I2" s="46"/>
      <c r="J2" s="49" t="s">
        <v>73</v>
      </c>
      <c r="L2" s="136"/>
      <c r="M2" s="136"/>
      <c r="N2" s="8"/>
      <c r="P2" s="128"/>
      <c r="Q2" s="128"/>
    </row>
    <row r="3" spans="1:24" s="56" customFormat="1" x14ac:dyDescent="0.25"/>
    <row r="4" spans="1:24" s="56" customFormat="1" ht="18.75" x14ac:dyDescent="0.3">
      <c r="A4" s="146" t="s">
        <v>177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4" x14ac:dyDescent="0.25">
      <c r="E5" s="59"/>
    </row>
    <row r="6" spans="1:24" s="60" customFormat="1" ht="31.5" x14ac:dyDescent="0.25">
      <c r="A6" s="157" t="s">
        <v>198</v>
      </c>
      <c r="B6" s="158"/>
      <c r="C6" s="158"/>
      <c r="D6" s="158"/>
      <c r="E6" s="18">
        <v>7</v>
      </c>
      <c r="Q6" s="63"/>
    </row>
    <row r="7" spans="1:24" s="60" customFormat="1" ht="15.75" x14ac:dyDescent="0.25">
      <c r="B7" s="61" t="s">
        <v>169</v>
      </c>
      <c r="E7" s="18">
        <v>7</v>
      </c>
      <c r="Q7" s="63"/>
    </row>
    <row r="8" spans="1:24" s="60" customFormat="1" ht="15.75" x14ac:dyDescent="0.25">
      <c r="B8" s="58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4" s="60" customFormat="1" ht="15.75" x14ac:dyDescent="0.25">
      <c r="B9" s="58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4" s="60" customFormat="1" ht="15.75" x14ac:dyDescent="0.25">
      <c r="B10" s="58"/>
      <c r="C10" s="64" t="s">
        <v>67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 spans="1:24" s="60" customFormat="1" ht="15.75" x14ac:dyDescent="0.25">
      <c r="B11" s="58"/>
      <c r="E11" s="65" t="s">
        <v>64</v>
      </c>
      <c r="F11" s="65" t="s">
        <v>63</v>
      </c>
      <c r="G11" s="65" t="s">
        <v>68</v>
      </c>
      <c r="I11" s="115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</row>
    <row r="12" spans="1:24" s="60" customFormat="1" ht="15.75" x14ac:dyDescent="0.25">
      <c r="C12" s="61"/>
      <c r="E12" s="228"/>
      <c r="F12" s="228"/>
      <c r="G12" s="228"/>
      <c r="I12" s="115"/>
      <c r="L12" s="63"/>
      <c r="M12" s="63"/>
      <c r="N12" s="63"/>
      <c r="O12" s="48"/>
      <c r="P12" s="48"/>
      <c r="Q12" s="123"/>
      <c r="R12" s="97"/>
      <c r="S12" s="97"/>
      <c r="T12" s="97"/>
      <c r="U12" s="63"/>
      <c r="V12" s="63"/>
      <c r="W12" s="63"/>
      <c r="X12" s="63"/>
    </row>
    <row r="13" spans="1:24" s="60" customFormat="1" ht="15.75" x14ac:dyDescent="0.25">
      <c r="C13" s="61" t="s">
        <v>200</v>
      </c>
      <c r="E13" s="9">
        <v>325</v>
      </c>
      <c r="F13" s="9">
        <v>86</v>
      </c>
      <c r="G13" s="104">
        <f>SUM(E13:F13)</f>
        <v>411</v>
      </c>
      <c r="H13" s="60" t="s">
        <v>66</v>
      </c>
      <c r="I13" s="104" t="s">
        <v>203</v>
      </c>
      <c r="J13" s="105"/>
      <c r="K13" s="40" t="str">
        <f>IF(G13=SUM('1'!C9:D13),"пройдена сверка лист 1 и 3", "требуется проверка")</f>
        <v>пройдена сверка лист 1 и 3</v>
      </c>
      <c r="L13" s="63"/>
      <c r="M13" s="63"/>
      <c r="N13" s="63"/>
      <c r="O13" s="48"/>
      <c r="P13" s="48"/>
      <c r="Q13" s="123"/>
      <c r="R13" s="98"/>
      <c r="S13" s="98"/>
      <c r="T13" s="98"/>
      <c r="U13" s="63"/>
      <c r="V13" s="63"/>
      <c r="W13" s="63"/>
      <c r="X13" s="63"/>
    </row>
    <row r="14" spans="1:24" s="60" customFormat="1" ht="15.75" x14ac:dyDescent="0.25">
      <c r="C14" s="111"/>
      <c r="E14" s="228"/>
      <c r="F14" s="228"/>
      <c r="G14" s="228"/>
      <c r="I14" s="97"/>
      <c r="K14" s="98"/>
      <c r="L14" s="63"/>
      <c r="M14" s="63"/>
      <c r="N14" s="63"/>
      <c r="O14" s="48"/>
      <c r="P14" s="48"/>
      <c r="Q14" s="123"/>
      <c r="R14" s="98"/>
      <c r="S14" s="98"/>
      <c r="T14" s="98"/>
      <c r="U14" s="63"/>
      <c r="V14" s="63"/>
    </row>
    <row r="15" spans="1:24" s="60" customFormat="1" ht="15.75" x14ac:dyDescent="0.25">
      <c r="B15" s="124" t="s">
        <v>176</v>
      </c>
      <c r="C15" s="124"/>
      <c r="E15" s="228"/>
      <c r="F15" s="228"/>
      <c r="G15" s="228"/>
      <c r="I15" s="97"/>
      <c r="K15" s="98"/>
      <c r="L15" s="63"/>
      <c r="M15" s="63"/>
      <c r="N15" s="63"/>
      <c r="O15" s="48"/>
      <c r="P15" s="48"/>
      <c r="Q15" s="123"/>
      <c r="R15" s="98"/>
      <c r="S15" s="98"/>
      <c r="T15" s="98"/>
      <c r="U15" s="63"/>
      <c r="V15" s="63"/>
    </row>
    <row r="16" spans="1:24" s="60" customFormat="1" ht="15.75" x14ac:dyDescent="0.25">
      <c r="B16" s="124"/>
      <c r="C16" s="125"/>
      <c r="E16" s="228"/>
      <c r="F16" s="228"/>
      <c r="G16" s="228"/>
      <c r="L16" s="63"/>
      <c r="M16" s="63"/>
      <c r="N16" s="63"/>
      <c r="O16" s="48"/>
      <c r="P16" s="48"/>
      <c r="Q16" s="123"/>
      <c r="R16" s="98"/>
      <c r="S16" s="98"/>
      <c r="T16" s="98"/>
      <c r="U16" s="63"/>
      <c r="V16" s="63"/>
    </row>
    <row r="17" spans="1:22" s="60" customFormat="1" ht="15.75" x14ac:dyDescent="0.25">
      <c r="B17" s="124"/>
      <c r="C17" s="125" t="s">
        <v>201</v>
      </c>
      <c r="E17" s="9">
        <v>74</v>
      </c>
      <c r="F17" s="9">
        <v>27</v>
      </c>
      <c r="G17" s="104">
        <f>SUM(E17:F17)</f>
        <v>101</v>
      </c>
      <c r="H17" s="60" t="s">
        <v>66</v>
      </c>
      <c r="I17" s="104" t="s">
        <v>203</v>
      </c>
      <c r="J17" s="105"/>
      <c r="K17" s="40" t="str">
        <f>IF(G17=SUM('1'!I9:AF13),"пройдена сверка лист 1 и 3", "требуется проверка")</f>
        <v>пройдена сверка лист 1 и 3</v>
      </c>
      <c r="L17" s="63"/>
      <c r="M17" s="63"/>
      <c r="N17" s="63"/>
      <c r="O17" s="48"/>
      <c r="P17" s="48"/>
      <c r="Q17" s="123"/>
      <c r="R17" s="98"/>
      <c r="S17" s="98"/>
      <c r="T17" s="98"/>
      <c r="U17" s="63"/>
      <c r="V17" s="63"/>
    </row>
    <row r="18" spans="1:22" s="60" customFormat="1" ht="15.75" x14ac:dyDescent="0.25">
      <c r="B18" s="126"/>
      <c r="C18" s="127"/>
      <c r="E18" s="228"/>
      <c r="F18" s="228"/>
      <c r="G18" s="228"/>
      <c r="L18" s="63"/>
      <c r="M18" s="63"/>
      <c r="N18" s="63"/>
      <c r="O18" s="48"/>
      <c r="P18" s="48"/>
      <c r="Q18" s="123"/>
      <c r="R18" s="98"/>
      <c r="S18" s="98"/>
      <c r="T18" s="98"/>
      <c r="U18" s="63"/>
      <c r="V18" s="63"/>
    </row>
    <row r="19" spans="1:22" s="60" customFormat="1" ht="15.75" x14ac:dyDescent="0.25">
      <c r="B19" s="113" t="s">
        <v>69</v>
      </c>
      <c r="C19" s="114"/>
      <c r="E19" s="228"/>
      <c r="F19" s="228"/>
      <c r="G19" s="228"/>
      <c r="L19" s="47"/>
      <c r="M19" s="63"/>
      <c r="N19" s="98"/>
      <c r="O19" s="98"/>
      <c r="P19" s="98"/>
      <c r="Q19" s="98"/>
      <c r="R19" s="98"/>
      <c r="S19" s="98"/>
      <c r="T19" s="98"/>
      <c r="U19" s="63"/>
      <c r="V19" s="63"/>
    </row>
    <row r="20" spans="1:22" s="60" customFormat="1" ht="15.75" x14ac:dyDescent="0.25">
      <c r="B20" s="67"/>
      <c r="C20" s="61"/>
      <c r="E20" s="228"/>
      <c r="F20" s="228"/>
      <c r="G20" s="228"/>
      <c r="L20" s="63"/>
      <c r="M20" s="63"/>
      <c r="N20" s="98"/>
      <c r="O20" s="98"/>
      <c r="P20" s="98"/>
      <c r="Q20" s="98"/>
      <c r="R20" s="98"/>
      <c r="S20" s="98"/>
      <c r="T20" s="98"/>
      <c r="U20" s="63"/>
      <c r="V20" s="63"/>
    </row>
    <row r="21" spans="1:22" s="60" customFormat="1" ht="15.75" x14ac:dyDescent="0.25">
      <c r="B21" s="67"/>
      <c r="C21" s="61" t="s">
        <v>202</v>
      </c>
      <c r="E21" s="9">
        <v>0</v>
      </c>
      <c r="F21" s="9">
        <v>0</v>
      </c>
      <c r="G21" s="66">
        <f>SUM(E21:F21)</f>
        <v>0</v>
      </c>
      <c r="H21" s="60" t="s">
        <v>66</v>
      </c>
      <c r="I21" s="67"/>
      <c r="L21" s="63"/>
      <c r="M21" s="63"/>
      <c r="N21" s="67"/>
      <c r="O21" s="67"/>
      <c r="P21" s="67"/>
      <c r="Q21" s="67"/>
      <c r="R21" s="67"/>
      <c r="S21" s="67"/>
      <c r="T21" s="67"/>
      <c r="U21" s="63"/>
    </row>
    <row r="22" spans="1:22" s="60" customFormat="1" ht="15.75" x14ac:dyDescent="0.25">
      <c r="B22" s="67"/>
      <c r="C22" s="111"/>
      <c r="E22" s="228"/>
      <c r="F22" s="228"/>
      <c r="G22" s="228"/>
      <c r="I22" s="67"/>
      <c r="N22" s="67"/>
      <c r="O22" s="67"/>
      <c r="P22" s="67"/>
      <c r="Q22" s="67"/>
      <c r="R22" s="67"/>
      <c r="S22" s="67"/>
      <c r="T22" s="67"/>
      <c r="U22" s="63"/>
    </row>
    <row r="24" spans="1:22" ht="90" x14ac:dyDescent="0.25">
      <c r="A24" s="62" t="s">
        <v>75</v>
      </c>
      <c r="B24" s="118" t="s">
        <v>0</v>
      </c>
      <c r="C24" s="94" t="s">
        <v>1</v>
      </c>
      <c r="D24" s="53" t="s">
        <v>157</v>
      </c>
      <c r="E24" s="53" t="s">
        <v>61</v>
      </c>
      <c r="F24" s="144" t="s">
        <v>175</v>
      </c>
      <c r="G24" s="144"/>
      <c r="H24" s="145"/>
      <c r="I24" s="145"/>
      <c r="J24" s="51" t="s">
        <v>2</v>
      </c>
      <c r="K24" s="51"/>
      <c r="L24" s="51"/>
      <c r="M24" s="52"/>
      <c r="N24" s="51" t="s">
        <v>3</v>
      </c>
      <c r="O24" s="51"/>
      <c r="P24" s="51"/>
      <c r="Q24" s="52"/>
      <c r="R24" s="51" t="s">
        <v>56</v>
      </c>
      <c r="S24" s="51"/>
      <c r="T24" s="51"/>
      <c r="U24" s="52"/>
    </row>
    <row r="25" spans="1:22" x14ac:dyDescent="0.25">
      <c r="A25" s="93" t="s">
        <v>73</v>
      </c>
      <c r="B25" s="69"/>
      <c r="D25" s="187"/>
      <c r="E25" s="187"/>
      <c r="F25" s="120" t="s">
        <v>64</v>
      </c>
      <c r="G25" s="120"/>
      <c r="H25" s="121" t="s">
        <v>63</v>
      </c>
      <c r="I25" s="122"/>
      <c r="J25" s="120" t="s">
        <v>64</v>
      </c>
      <c r="K25" s="120"/>
      <c r="L25" s="121" t="s">
        <v>63</v>
      </c>
      <c r="M25" s="122"/>
      <c r="N25" s="120" t="s">
        <v>64</v>
      </c>
      <c r="O25" s="120"/>
      <c r="P25" s="121" t="s">
        <v>63</v>
      </c>
      <c r="Q25" s="122"/>
      <c r="R25" s="120" t="s">
        <v>64</v>
      </c>
      <c r="S25" s="120"/>
      <c r="T25" s="121" t="s">
        <v>63</v>
      </c>
      <c r="U25" s="122"/>
    </row>
    <row r="26" spans="1:22" s="68" customFormat="1" ht="63.75" x14ac:dyDescent="0.25">
      <c r="A26" s="141"/>
      <c r="B26" s="142"/>
      <c r="C26" s="169" t="s">
        <v>148</v>
      </c>
      <c r="D26" s="143"/>
      <c r="E26" s="143"/>
      <c r="F26" s="133" t="s">
        <v>165</v>
      </c>
      <c r="G26" s="133" t="s">
        <v>167</v>
      </c>
      <c r="H26" s="133" t="s">
        <v>165</v>
      </c>
      <c r="I26" s="133" t="s">
        <v>167</v>
      </c>
      <c r="J26" s="133" t="s">
        <v>165</v>
      </c>
      <c r="K26" s="133" t="s">
        <v>167</v>
      </c>
      <c r="L26" s="133" t="s">
        <v>165</v>
      </c>
      <c r="M26" s="133" t="s">
        <v>167</v>
      </c>
      <c r="N26" s="133" t="s">
        <v>165</v>
      </c>
      <c r="O26" s="133" t="s">
        <v>167</v>
      </c>
      <c r="P26" s="133" t="s">
        <v>165</v>
      </c>
      <c r="Q26" s="133" t="s">
        <v>167</v>
      </c>
      <c r="R26" s="133" t="s">
        <v>165</v>
      </c>
      <c r="S26" s="133" t="s">
        <v>167</v>
      </c>
      <c r="T26" s="133" t="s">
        <v>165</v>
      </c>
      <c r="U26" s="133" t="s">
        <v>167</v>
      </c>
    </row>
    <row r="27" spans="1:22" ht="15.75" x14ac:dyDescent="0.25">
      <c r="A27" s="70">
        <f>$B$1</f>
        <v>135</v>
      </c>
      <c r="B27" s="71">
        <v>1</v>
      </c>
      <c r="C27" s="96" t="s">
        <v>13</v>
      </c>
      <c r="D27" s="10">
        <v>6</v>
      </c>
      <c r="E27" s="10">
        <v>6</v>
      </c>
      <c r="F27" s="4">
        <v>25</v>
      </c>
      <c r="G27" s="4">
        <v>0</v>
      </c>
      <c r="H27" s="2">
        <v>10</v>
      </c>
      <c r="I27" s="116">
        <v>0</v>
      </c>
      <c r="J27" s="4">
        <v>3</v>
      </c>
      <c r="K27" s="4">
        <v>0</v>
      </c>
      <c r="L27" s="3">
        <v>2</v>
      </c>
      <c r="M27" s="2">
        <v>0</v>
      </c>
      <c r="N27" s="4">
        <v>9</v>
      </c>
      <c r="O27" s="117">
        <v>0</v>
      </c>
      <c r="P27" s="3">
        <v>1</v>
      </c>
      <c r="Q27" s="3">
        <v>0</v>
      </c>
      <c r="R27" s="167">
        <f>SUM(J27,N27)</f>
        <v>12</v>
      </c>
      <c r="S27" s="167">
        <f>SUM(K27,O27)</f>
        <v>0</v>
      </c>
      <c r="T27" s="168">
        <f>SUM(L27,P27)</f>
        <v>3</v>
      </c>
      <c r="U27" s="168">
        <f>SUM(M27,Q27)</f>
        <v>0</v>
      </c>
    </row>
    <row r="28" spans="1:22" ht="15.75" x14ac:dyDescent="0.25">
      <c r="A28" s="70">
        <f t="shared" ref="A28:A51" si="0">$B$1</f>
        <v>135</v>
      </c>
      <c r="B28" s="71">
        <v>2</v>
      </c>
      <c r="C28" s="96" t="s">
        <v>19</v>
      </c>
      <c r="D28" s="10">
        <v>0</v>
      </c>
      <c r="E28" s="10">
        <v>0</v>
      </c>
      <c r="F28" s="4">
        <v>0</v>
      </c>
      <c r="G28" s="4">
        <v>0</v>
      </c>
      <c r="H28" s="2">
        <v>0</v>
      </c>
      <c r="I28" s="116">
        <v>0</v>
      </c>
      <c r="J28" s="4">
        <v>0</v>
      </c>
      <c r="K28" s="4">
        <v>0</v>
      </c>
      <c r="L28" s="3">
        <v>0</v>
      </c>
      <c r="M28" s="2">
        <v>0</v>
      </c>
      <c r="N28" s="4">
        <v>0</v>
      </c>
      <c r="O28" s="117">
        <v>0</v>
      </c>
      <c r="P28" s="3">
        <v>0</v>
      </c>
      <c r="Q28" s="3">
        <v>0</v>
      </c>
      <c r="R28" s="167">
        <f t="shared" ref="R28:R50" si="1">SUM(J28,N28)</f>
        <v>0</v>
      </c>
      <c r="S28" s="167">
        <f t="shared" ref="S28:S50" si="2">SUM(K28,O28)</f>
        <v>0</v>
      </c>
      <c r="T28" s="168">
        <f t="shared" ref="T28:T50" si="3">SUM(L28,P28)</f>
        <v>0</v>
      </c>
      <c r="U28" s="168">
        <f t="shared" ref="U28:U50" si="4">SUM(M28,Q28)</f>
        <v>0</v>
      </c>
    </row>
    <row r="29" spans="1:22" ht="15.75" x14ac:dyDescent="0.25">
      <c r="A29" s="70">
        <f t="shared" si="0"/>
        <v>135</v>
      </c>
      <c r="B29" s="71">
        <v>3</v>
      </c>
      <c r="C29" s="96" t="s">
        <v>8</v>
      </c>
      <c r="D29" s="10">
        <v>6</v>
      </c>
      <c r="E29" s="10">
        <v>6</v>
      </c>
      <c r="F29" s="4">
        <v>21</v>
      </c>
      <c r="G29" s="4">
        <v>0</v>
      </c>
      <c r="H29" s="2">
        <v>19</v>
      </c>
      <c r="I29" s="116">
        <v>0</v>
      </c>
      <c r="J29" s="4">
        <v>3</v>
      </c>
      <c r="K29" s="4">
        <v>0</v>
      </c>
      <c r="L29" s="3">
        <v>5</v>
      </c>
      <c r="M29" s="2">
        <v>0</v>
      </c>
      <c r="N29" s="4">
        <v>9</v>
      </c>
      <c r="O29" s="117">
        <v>0</v>
      </c>
      <c r="P29" s="3">
        <v>5</v>
      </c>
      <c r="Q29" s="3">
        <v>0</v>
      </c>
      <c r="R29" s="167">
        <f t="shared" si="1"/>
        <v>12</v>
      </c>
      <c r="S29" s="167">
        <f t="shared" si="2"/>
        <v>0</v>
      </c>
      <c r="T29" s="168">
        <f t="shared" si="3"/>
        <v>10</v>
      </c>
      <c r="U29" s="168">
        <f t="shared" si="4"/>
        <v>0</v>
      </c>
    </row>
    <row r="30" spans="1:22" ht="15.75" x14ac:dyDescent="0.25">
      <c r="A30" s="70">
        <f t="shared" si="0"/>
        <v>135</v>
      </c>
      <c r="B30" s="71">
        <v>4</v>
      </c>
      <c r="C30" s="96" t="s">
        <v>9</v>
      </c>
      <c r="D30" s="10">
        <v>6</v>
      </c>
      <c r="E30" s="10">
        <v>6</v>
      </c>
      <c r="F30" s="4">
        <v>22</v>
      </c>
      <c r="G30" s="4">
        <v>0</v>
      </c>
      <c r="H30" s="2">
        <v>12</v>
      </c>
      <c r="I30" s="116">
        <v>0</v>
      </c>
      <c r="J30" s="4">
        <v>3</v>
      </c>
      <c r="K30" s="4">
        <v>0</v>
      </c>
      <c r="L30" s="3">
        <v>2</v>
      </c>
      <c r="M30" s="2">
        <v>0</v>
      </c>
      <c r="N30" s="4">
        <v>3</v>
      </c>
      <c r="O30" s="117">
        <v>0</v>
      </c>
      <c r="P30" s="3">
        <v>4</v>
      </c>
      <c r="Q30" s="3">
        <v>0</v>
      </c>
      <c r="R30" s="167">
        <f t="shared" si="1"/>
        <v>6</v>
      </c>
      <c r="S30" s="167">
        <f t="shared" si="2"/>
        <v>0</v>
      </c>
      <c r="T30" s="168">
        <f t="shared" si="3"/>
        <v>6</v>
      </c>
      <c r="U30" s="168">
        <f t="shared" si="4"/>
        <v>0</v>
      </c>
    </row>
    <row r="31" spans="1:22" ht="15.75" x14ac:dyDescent="0.25">
      <c r="A31" s="70">
        <f t="shared" si="0"/>
        <v>135</v>
      </c>
      <c r="B31" s="71">
        <v>5</v>
      </c>
      <c r="C31" s="96" t="s">
        <v>58</v>
      </c>
      <c r="D31" s="10">
        <v>1</v>
      </c>
      <c r="E31" s="10">
        <v>1</v>
      </c>
      <c r="F31" s="4">
        <v>0</v>
      </c>
      <c r="G31" s="4">
        <v>0</v>
      </c>
      <c r="H31" s="2">
        <v>3</v>
      </c>
      <c r="I31" s="116">
        <v>0</v>
      </c>
      <c r="J31" s="4">
        <v>0</v>
      </c>
      <c r="K31" s="4">
        <v>0</v>
      </c>
      <c r="L31" s="3">
        <v>0</v>
      </c>
      <c r="M31" s="2">
        <v>0</v>
      </c>
      <c r="N31" s="4">
        <v>0</v>
      </c>
      <c r="O31" s="117">
        <v>0</v>
      </c>
      <c r="P31" s="3">
        <v>0</v>
      </c>
      <c r="Q31" s="3">
        <v>0</v>
      </c>
      <c r="R31" s="167">
        <f t="shared" si="1"/>
        <v>0</v>
      </c>
      <c r="S31" s="167">
        <f t="shared" si="2"/>
        <v>0</v>
      </c>
      <c r="T31" s="168">
        <f t="shared" si="3"/>
        <v>0</v>
      </c>
      <c r="U31" s="168">
        <f t="shared" si="4"/>
        <v>0</v>
      </c>
    </row>
    <row r="32" spans="1:22" ht="33.75" customHeight="1" x14ac:dyDescent="0.25">
      <c r="A32" s="70">
        <f t="shared" si="0"/>
        <v>135</v>
      </c>
      <c r="B32" s="72">
        <v>6</v>
      </c>
      <c r="C32" s="96" t="s">
        <v>59</v>
      </c>
      <c r="D32" s="10">
        <v>0</v>
      </c>
      <c r="E32" s="10">
        <v>0</v>
      </c>
      <c r="F32" s="4">
        <v>0</v>
      </c>
      <c r="G32" s="4">
        <v>0</v>
      </c>
      <c r="H32" s="2">
        <v>0</v>
      </c>
      <c r="I32" s="116">
        <v>0</v>
      </c>
      <c r="J32" s="4">
        <v>0</v>
      </c>
      <c r="K32" s="4">
        <v>0</v>
      </c>
      <c r="L32" s="3">
        <v>0</v>
      </c>
      <c r="M32" s="2">
        <v>0</v>
      </c>
      <c r="N32" s="4">
        <v>0</v>
      </c>
      <c r="O32" s="117">
        <v>0</v>
      </c>
      <c r="P32" s="3">
        <v>0</v>
      </c>
      <c r="Q32" s="3">
        <v>0</v>
      </c>
      <c r="R32" s="167">
        <f t="shared" si="1"/>
        <v>0</v>
      </c>
      <c r="S32" s="167">
        <f t="shared" si="2"/>
        <v>0</v>
      </c>
      <c r="T32" s="168">
        <f t="shared" si="3"/>
        <v>0</v>
      </c>
      <c r="U32" s="168">
        <f t="shared" si="4"/>
        <v>0</v>
      </c>
    </row>
    <row r="33" spans="1:21" ht="15.75" x14ac:dyDescent="0.25">
      <c r="A33" s="70">
        <f t="shared" si="0"/>
        <v>135</v>
      </c>
      <c r="B33" s="71">
        <v>7</v>
      </c>
      <c r="C33" s="96" t="s">
        <v>55</v>
      </c>
      <c r="D33" s="10">
        <v>0</v>
      </c>
      <c r="E33" s="10">
        <v>0</v>
      </c>
      <c r="F33" s="4">
        <v>0</v>
      </c>
      <c r="G33" s="4">
        <v>0</v>
      </c>
      <c r="H33" s="2">
        <v>0</v>
      </c>
      <c r="I33" s="116">
        <v>0</v>
      </c>
      <c r="J33" s="4">
        <v>0</v>
      </c>
      <c r="K33" s="4">
        <v>0</v>
      </c>
      <c r="L33" s="3">
        <v>0</v>
      </c>
      <c r="M33" s="2">
        <v>0</v>
      </c>
      <c r="N33" s="4">
        <v>0</v>
      </c>
      <c r="O33" s="117">
        <v>0</v>
      </c>
      <c r="P33" s="3">
        <v>0</v>
      </c>
      <c r="Q33" s="3">
        <v>0</v>
      </c>
      <c r="R33" s="167">
        <f t="shared" si="1"/>
        <v>0</v>
      </c>
      <c r="S33" s="167">
        <f t="shared" si="2"/>
        <v>0</v>
      </c>
      <c r="T33" s="168">
        <f t="shared" si="3"/>
        <v>0</v>
      </c>
      <c r="U33" s="168">
        <f t="shared" si="4"/>
        <v>0</v>
      </c>
    </row>
    <row r="34" spans="1:21" ht="15.75" x14ac:dyDescent="0.25">
      <c r="A34" s="70">
        <f t="shared" si="0"/>
        <v>135</v>
      </c>
      <c r="B34" s="71">
        <v>8</v>
      </c>
      <c r="C34" s="96" t="s">
        <v>10</v>
      </c>
      <c r="D34" s="10">
        <v>4</v>
      </c>
      <c r="E34" s="10">
        <v>4</v>
      </c>
      <c r="F34" s="4">
        <v>29</v>
      </c>
      <c r="G34" s="4">
        <v>0</v>
      </c>
      <c r="H34" s="2">
        <v>3</v>
      </c>
      <c r="I34" s="116">
        <v>0</v>
      </c>
      <c r="J34" s="4">
        <v>8</v>
      </c>
      <c r="K34" s="4">
        <v>0</v>
      </c>
      <c r="L34" s="3">
        <v>2</v>
      </c>
      <c r="M34" s="2">
        <v>0</v>
      </c>
      <c r="N34" s="4">
        <v>12</v>
      </c>
      <c r="O34" s="117">
        <v>0</v>
      </c>
      <c r="P34" s="3">
        <v>0</v>
      </c>
      <c r="Q34" s="3">
        <v>0</v>
      </c>
      <c r="R34" s="167">
        <f t="shared" si="1"/>
        <v>20</v>
      </c>
      <c r="S34" s="167">
        <f t="shared" si="2"/>
        <v>0</v>
      </c>
      <c r="T34" s="168">
        <f t="shared" si="3"/>
        <v>2</v>
      </c>
      <c r="U34" s="168">
        <f t="shared" si="4"/>
        <v>0</v>
      </c>
    </row>
    <row r="35" spans="1:21" ht="15.75" x14ac:dyDescent="0.25">
      <c r="A35" s="70">
        <f t="shared" si="0"/>
        <v>135</v>
      </c>
      <c r="B35" s="71">
        <v>9</v>
      </c>
      <c r="C35" s="96" t="s">
        <v>155</v>
      </c>
      <c r="D35" s="10">
        <v>0</v>
      </c>
      <c r="E35" s="10">
        <v>0</v>
      </c>
      <c r="F35" s="4">
        <v>0</v>
      </c>
      <c r="G35" s="4">
        <v>0</v>
      </c>
      <c r="H35" s="2">
        <v>0</v>
      </c>
      <c r="I35" s="116">
        <v>0</v>
      </c>
      <c r="J35" s="4">
        <v>0</v>
      </c>
      <c r="K35" s="4">
        <v>0</v>
      </c>
      <c r="L35" s="3">
        <v>0</v>
      </c>
      <c r="M35" s="2">
        <v>0</v>
      </c>
      <c r="N35" s="4">
        <v>0</v>
      </c>
      <c r="O35" s="117"/>
      <c r="P35" s="3">
        <v>0</v>
      </c>
      <c r="Q35" s="3">
        <v>0</v>
      </c>
      <c r="R35" s="167">
        <f t="shared" si="1"/>
        <v>0</v>
      </c>
      <c r="S35" s="167">
        <f t="shared" si="2"/>
        <v>0</v>
      </c>
      <c r="T35" s="168">
        <f t="shared" si="3"/>
        <v>0</v>
      </c>
      <c r="U35" s="168">
        <f t="shared" si="4"/>
        <v>0</v>
      </c>
    </row>
    <row r="36" spans="1:21" ht="15.75" x14ac:dyDescent="0.25">
      <c r="A36" s="70">
        <f t="shared" si="0"/>
        <v>135</v>
      </c>
      <c r="B36" s="71">
        <v>10</v>
      </c>
      <c r="C36" s="96" t="s">
        <v>156</v>
      </c>
      <c r="D36" s="10">
        <v>0</v>
      </c>
      <c r="E36" s="10">
        <v>0</v>
      </c>
      <c r="F36" s="4">
        <v>0</v>
      </c>
      <c r="G36" s="4">
        <v>0</v>
      </c>
      <c r="H36" s="2">
        <v>0</v>
      </c>
      <c r="I36" s="116">
        <v>0</v>
      </c>
      <c r="J36" s="4">
        <v>0</v>
      </c>
      <c r="K36" s="4">
        <v>0</v>
      </c>
      <c r="L36" s="3">
        <v>0</v>
      </c>
      <c r="M36" s="2">
        <v>0</v>
      </c>
      <c r="N36" s="4">
        <v>0</v>
      </c>
      <c r="O36" s="117">
        <v>0</v>
      </c>
      <c r="P36" s="3">
        <v>0</v>
      </c>
      <c r="Q36" s="3">
        <v>0</v>
      </c>
      <c r="R36" s="167">
        <f t="shared" si="1"/>
        <v>0</v>
      </c>
      <c r="S36" s="167">
        <f t="shared" si="2"/>
        <v>0</v>
      </c>
      <c r="T36" s="168">
        <f t="shared" si="3"/>
        <v>0</v>
      </c>
      <c r="U36" s="168">
        <f t="shared" si="4"/>
        <v>0</v>
      </c>
    </row>
    <row r="37" spans="1:21" ht="15.75" x14ac:dyDescent="0.25">
      <c r="A37" s="70">
        <f t="shared" si="0"/>
        <v>135</v>
      </c>
      <c r="B37" s="71">
        <v>11</v>
      </c>
      <c r="C37" s="96" t="s">
        <v>5</v>
      </c>
      <c r="D37" s="10">
        <v>5</v>
      </c>
      <c r="E37" s="10">
        <v>5</v>
      </c>
      <c r="F37" s="4">
        <v>34</v>
      </c>
      <c r="G37" s="4">
        <v>0</v>
      </c>
      <c r="H37" s="2">
        <v>7</v>
      </c>
      <c r="I37" s="116">
        <v>0</v>
      </c>
      <c r="J37" s="4">
        <v>6</v>
      </c>
      <c r="K37" s="4">
        <v>0</v>
      </c>
      <c r="L37" s="3">
        <v>0</v>
      </c>
      <c r="M37" s="2">
        <v>0</v>
      </c>
      <c r="N37" s="4">
        <v>12</v>
      </c>
      <c r="O37" s="117">
        <v>0</v>
      </c>
      <c r="P37" s="3">
        <v>1</v>
      </c>
      <c r="Q37" s="3">
        <v>0</v>
      </c>
      <c r="R37" s="167">
        <f t="shared" si="1"/>
        <v>18</v>
      </c>
      <c r="S37" s="167">
        <f t="shared" si="2"/>
        <v>0</v>
      </c>
      <c r="T37" s="168">
        <f t="shared" si="3"/>
        <v>1</v>
      </c>
      <c r="U37" s="168">
        <f t="shared" si="4"/>
        <v>0</v>
      </c>
    </row>
    <row r="38" spans="1:21" ht="15.75" x14ac:dyDescent="0.25">
      <c r="A38" s="70">
        <f t="shared" si="0"/>
        <v>135</v>
      </c>
      <c r="B38" s="71">
        <v>12</v>
      </c>
      <c r="C38" s="96" t="s">
        <v>20</v>
      </c>
      <c r="D38" s="10">
        <v>6</v>
      </c>
      <c r="E38" s="10">
        <v>6</v>
      </c>
      <c r="F38" s="4">
        <v>35</v>
      </c>
      <c r="G38" s="4">
        <v>0</v>
      </c>
      <c r="H38" s="2">
        <v>13</v>
      </c>
      <c r="I38" s="116">
        <v>0</v>
      </c>
      <c r="J38" s="4">
        <v>0</v>
      </c>
      <c r="K38" s="4">
        <v>0</v>
      </c>
      <c r="L38" s="3">
        <v>0</v>
      </c>
      <c r="M38" s="2">
        <v>0</v>
      </c>
      <c r="N38" s="4">
        <v>1</v>
      </c>
      <c r="O38" s="117">
        <v>0</v>
      </c>
      <c r="P38" s="3">
        <v>0</v>
      </c>
      <c r="Q38" s="3">
        <v>0</v>
      </c>
      <c r="R38" s="167">
        <f t="shared" si="1"/>
        <v>1</v>
      </c>
      <c r="S38" s="167">
        <f t="shared" si="2"/>
        <v>0</v>
      </c>
      <c r="T38" s="168">
        <f t="shared" si="3"/>
        <v>0</v>
      </c>
      <c r="U38" s="168">
        <f t="shared" si="4"/>
        <v>0</v>
      </c>
    </row>
    <row r="39" spans="1:21" ht="15.75" x14ac:dyDescent="0.25">
      <c r="A39" s="70">
        <f t="shared" si="0"/>
        <v>135</v>
      </c>
      <c r="B39" s="71">
        <v>13</v>
      </c>
      <c r="C39" s="96" t="s">
        <v>21</v>
      </c>
      <c r="D39" s="10">
        <v>0</v>
      </c>
      <c r="E39" s="10">
        <v>0</v>
      </c>
      <c r="F39" s="4">
        <v>0</v>
      </c>
      <c r="G39" s="4">
        <v>0</v>
      </c>
      <c r="H39" s="2">
        <v>0</v>
      </c>
      <c r="I39" s="116">
        <v>0</v>
      </c>
      <c r="J39" s="4">
        <v>0</v>
      </c>
      <c r="K39" s="4">
        <v>0</v>
      </c>
      <c r="L39" s="3">
        <v>0</v>
      </c>
      <c r="M39" s="2">
        <v>0</v>
      </c>
      <c r="N39" s="4">
        <v>0</v>
      </c>
      <c r="O39" s="117">
        <v>0</v>
      </c>
      <c r="P39" s="3">
        <v>0</v>
      </c>
      <c r="Q39" s="3">
        <v>0</v>
      </c>
      <c r="R39" s="167">
        <f t="shared" si="1"/>
        <v>0</v>
      </c>
      <c r="S39" s="167">
        <f t="shared" si="2"/>
        <v>0</v>
      </c>
      <c r="T39" s="168">
        <f t="shared" si="3"/>
        <v>0</v>
      </c>
      <c r="U39" s="168">
        <f t="shared" si="4"/>
        <v>0</v>
      </c>
    </row>
    <row r="40" spans="1:21" ht="15.75" x14ac:dyDescent="0.25">
      <c r="A40" s="70">
        <f t="shared" si="0"/>
        <v>135</v>
      </c>
      <c r="B40" s="71">
        <v>14</v>
      </c>
      <c r="C40" s="96" t="s">
        <v>11</v>
      </c>
      <c r="D40" s="10">
        <v>6</v>
      </c>
      <c r="E40" s="10">
        <v>6</v>
      </c>
      <c r="F40" s="4">
        <v>19</v>
      </c>
      <c r="G40" s="4">
        <v>0</v>
      </c>
      <c r="H40" s="2">
        <v>11</v>
      </c>
      <c r="I40" s="116">
        <v>0</v>
      </c>
      <c r="J40" s="4">
        <v>4</v>
      </c>
      <c r="K40" s="4">
        <v>0</v>
      </c>
      <c r="L40" s="3">
        <v>2</v>
      </c>
      <c r="M40" s="2">
        <v>0</v>
      </c>
      <c r="N40" s="4">
        <v>8</v>
      </c>
      <c r="O40" s="117">
        <v>0</v>
      </c>
      <c r="P40" s="3">
        <v>1</v>
      </c>
      <c r="Q40" s="3">
        <v>0</v>
      </c>
      <c r="R40" s="167">
        <f t="shared" si="1"/>
        <v>12</v>
      </c>
      <c r="S40" s="167">
        <f t="shared" si="2"/>
        <v>0</v>
      </c>
      <c r="T40" s="168">
        <f t="shared" si="3"/>
        <v>3</v>
      </c>
      <c r="U40" s="168">
        <f t="shared" si="4"/>
        <v>0</v>
      </c>
    </row>
    <row r="41" spans="1:21" ht="31.5" x14ac:dyDescent="0.25">
      <c r="A41" s="70">
        <f t="shared" si="0"/>
        <v>135</v>
      </c>
      <c r="B41" s="71">
        <v>15</v>
      </c>
      <c r="C41" s="96" t="s">
        <v>60</v>
      </c>
      <c r="D41" s="10">
        <v>5</v>
      </c>
      <c r="E41" s="10">
        <v>5</v>
      </c>
      <c r="F41" s="4">
        <v>11</v>
      </c>
      <c r="G41" s="4">
        <v>0</v>
      </c>
      <c r="H41" s="2">
        <v>7</v>
      </c>
      <c r="I41" s="116">
        <v>0</v>
      </c>
      <c r="J41" s="4">
        <v>3</v>
      </c>
      <c r="K41" s="4">
        <v>0</v>
      </c>
      <c r="L41" s="3">
        <v>3</v>
      </c>
      <c r="M41" s="2">
        <v>0</v>
      </c>
      <c r="N41" s="4">
        <v>5</v>
      </c>
      <c r="O41" s="117">
        <v>0</v>
      </c>
      <c r="P41" s="3">
        <v>2</v>
      </c>
      <c r="Q41" s="3">
        <v>0</v>
      </c>
      <c r="R41" s="167">
        <f t="shared" si="1"/>
        <v>8</v>
      </c>
      <c r="S41" s="167">
        <f t="shared" si="2"/>
        <v>0</v>
      </c>
      <c r="T41" s="168">
        <f t="shared" si="3"/>
        <v>5</v>
      </c>
      <c r="U41" s="168">
        <f t="shared" si="4"/>
        <v>0</v>
      </c>
    </row>
    <row r="42" spans="1:21" ht="15.75" x14ac:dyDescent="0.25">
      <c r="A42" s="70">
        <f t="shared" si="0"/>
        <v>135</v>
      </c>
      <c r="B42" s="71">
        <v>16</v>
      </c>
      <c r="C42" s="96" t="s">
        <v>12</v>
      </c>
      <c r="D42" s="10">
        <v>3</v>
      </c>
      <c r="E42" s="10">
        <v>3</v>
      </c>
      <c r="F42" s="4">
        <v>1</v>
      </c>
      <c r="G42" s="4">
        <v>0</v>
      </c>
      <c r="H42" s="2">
        <v>1</v>
      </c>
      <c r="I42" s="116">
        <v>0</v>
      </c>
      <c r="J42" s="4">
        <v>0</v>
      </c>
      <c r="K42" s="4">
        <v>0</v>
      </c>
      <c r="L42" s="3">
        <v>0</v>
      </c>
      <c r="M42" s="2">
        <v>0</v>
      </c>
      <c r="N42" s="4">
        <v>0</v>
      </c>
      <c r="O42" s="117">
        <v>0</v>
      </c>
      <c r="P42" s="3">
        <v>0</v>
      </c>
      <c r="Q42" s="3">
        <v>0</v>
      </c>
      <c r="R42" s="167">
        <f t="shared" si="1"/>
        <v>0</v>
      </c>
      <c r="S42" s="167">
        <f t="shared" si="2"/>
        <v>0</v>
      </c>
      <c r="T42" s="168">
        <f t="shared" si="3"/>
        <v>0</v>
      </c>
      <c r="U42" s="168">
        <f t="shared" si="4"/>
        <v>0</v>
      </c>
    </row>
    <row r="43" spans="1:21" ht="15.75" x14ac:dyDescent="0.25">
      <c r="A43" s="70">
        <f t="shared" si="0"/>
        <v>135</v>
      </c>
      <c r="B43" s="71">
        <v>17</v>
      </c>
      <c r="C43" s="96" t="s">
        <v>4</v>
      </c>
      <c r="D43" s="10">
        <v>6</v>
      </c>
      <c r="E43" s="10">
        <v>6</v>
      </c>
      <c r="F43" s="4">
        <v>35</v>
      </c>
      <c r="G43" s="4">
        <v>0</v>
      </c>
      <c r="H43" s="2">
        <v>16</v>
      </c>
      <c r="I43" s="116">
        <v>0</v>
      </c>
      <c r="J43" s="4">
        <v>10</v>
      </c>
      <c r="K43" s="4">
        <v>0</v>
      </c>
      <c r="L43" s="3">
        <v>5</v>
      </c>
      <c r="M43" s="2">
        <v>0</v>
      </c>
      <c r="N43" s="4">
        <v>20</v>
      </c>
      <c r="O43" s="117">
        <v>0</v>
      </c>
      <c r="P43" s="3">
        <v>5</v>
      </c>
      <c r="Q43" s="3">
        <v>0</v>
      </c>
      <c r="R43" s="167">
        <f t="shared" si="1"/>
        <v>30</v>
      </c>
      <c r="S43" s="167">
        <f t="shared" si="2"/>
        <v>0</v>
      </c>
      <c r="T43" s="168">
        <f t="shared" si="3"/>
        <v>10</v>
      </c>
      <c r="U43" s="168">
        <f t="shared" si="4"/>
        <v>0</v>
      </c>
    </row>
    <row r="44" spans="1:21" ht="15.75" x14ac:dyDescent="0.25">
      <c r="A44" s="70">
        <f t="shared" si="0"/>
        <v>135</v>
      </c>
      <c r="B44" s="71">
        <v>18</v>
      </c>
      <c r="C44" s="96" t="s">
        <v>16</v>
      </c>
      <c r="D44" s="10">
        <v>3</v>
      </c>
      <c r="E44" s="10">
        <v>3</v>
      </c>
      <c r="F44" s="4">
        <v>24</v>
      </c>
      <c r="G44" s="4">
        <v>0</v>
      </c>
      <c r="H44" s="2">
        <v>1</v>
      </c>
      <c r="I44" s="116">
        <v>0</v>
      </c>
      <c r="J44" s="4">
        <v>7</v>
      </c>
      <c r="K44" s="4">
        <v>0</v>
      </c>
      <c r="L44" s="3">
        <v>1</v>
      </c>
      <c r="M44" s="2">
        <v>0</v>
      </c>
      <c r="N44" s="4">
        <v>15</v>
      </c>
      <c r="O44" s="117">
        <v>0</v>
      </c>
      <c r="P44" s="3">
        <v>0</v>
      </c>
      <c r="Q44" s="3">
        <v>0</v>
      </c>
      <c r="R44" s="167">
        <f t="shared" si="1"/>
        <v>22</v>
      </c>
      <c r="S44" s="167">
        <f t="shared" si="2"/>
        <v>0</v>
      </c>
      <c r="T44" s="168">
        <f t="shared" si="3"/>
        <v>1</v>
      </c>
      <c r="U44" s="168">
        <f t="shared" si="4"/>
        <v>0</v>
      </c>
    </row>
    <row r="45" spans="1:21" ht="15.75" x14ac:dyDescent="0.25">
      <c r="A45" s="70">
        <f t="shared" si="0"/>
        <v>135</v>
      </c>
      <c r="B45" s="71">
        <v>19</v>
      </c>
      <c r="C45" s="96" t="s">
        <v>6</v>
      </c>
      <c r="D45" s="10">
        <v>4</v>
      </c>
      <c r="E45" s="10">
        <v>4</v>
      </c>
      <c r="F45" s="4">
        <v>6</v>
      </c>
      <c r="G45" s="4">
        <v>0</v>
      </c>
      <c r="H45" s="2">
        <v>4</v>
      </c>
      <c r="I45" s="116">
        <v>0</v>
      </c>
      <c r="J45" s="4">
        <v>0</v>
      </c>
      <c r="K45" s="4">
        <v>0</v>
      </c>
      <c r="L45" s="3">
        <v>1</v>
      </c>
      <c r="M45" s="2">
        <v>0</v>
      </c>
      <c r="N45" s="4">
        <v>1</v>
      </c>
      <c r="O45" s="117">
        <v>0</v>
      </c>
      <c r="P45" s="3">
        <v>0</v>
      </c>
      <c r="Q45" s="3">
        <v>0</v>
      </c>
      <c r="R45" s="167">
        <f t="shared" si="1"/>
        <v>1</v>
      </c>
      <c r="S45" s="167">
        <f t="shared" si="2"/>
        <v>0</v>
      </c>
      <c r="T45" s="168">
        <f t="shared" si="3"/>
        <v>1</v>
      </c>
      <c r="U45" s="168">
        <f t="shared" si="4"/>
        <v>0</v>
      </c>
    </row>
    <row r="46" spans="1:21" ht="15.75" x14ac:dyDescent="0.25">
      <c r="A46" s="70">
        <f t="shared" si="0"/>
        <v>135</v>
      </c>
      <c r="B46" s="71">
        <v>20</v>
      </c>
      <c r="C46" s="96" t="s">
        <v>15</v>
      </c>
      <c r="D46" s="10">
        <v>4</v>
      </c>
      <c r="E46" s="10">
        <v>4</v>
      </c>
      <c r="F46" s="4">
        <v>26</v>
      </c>
      <c r="G46" s="4">
        <v>0</v>
      </c>
      <c r="H46" s="2">
        <v>15</v>
      </c>
      <c r="I46" s="116">
        <v>0</v>
      </c>
      <c r="J46" s="4">
        <v>15</v>
      </c>
      <c r="K46" s="4">
        <v>0</v>
      </c>
      <c r="L46" s="3">
        <v>5</v>
      </c>
      <c r="M46" s="2">
        <v>0</v>
      </c>
      <c r="N46" s="4">
        <v>7</v>
      </c>
      <c r="O46" s="117">
        <v>0</v>
      </c>
      <c r="P46" s="3">
        <v>6</v>
      </c>
      <c r="Q46" s="3">
        <v>0</v>
      </c>
      <c r="R46" s="167">
        <f t="shared" si="1"/>
        <v>22</v>
      </c>
      <c r="S46" s="167">
        <f t="shared" si="2"/>
        <v>0</v>
      </c>
      <c r="T46" s="168">
        <f t="shared" si="3"/>
        <v>11</v>
      </c>
      <c r="U46" s="168">
        <f t="shared" si="4"/>
        <v>0</v>
      </c>
    </row>
    <row r="47" spans="1:21" ht="15.75" x14ac:dyDescent="0.25">
      <c r="A47" s="70">
        <f t="shared" si="0"/>
        <v>135</v>
      </c>
      <c r="B47" s="71">
        <v>21</v>
      </c>
      <c r="C47" s="96" t="s">
        <v>14</v>
      </c>
      <c r="D47" s="10">
        <v>0</v>
      </c>
      <c r="E47" s="10"/>
      <c r="F47" s="4">
        <v>0</v>
      </c>
      <c r="G47" s="4">
        <v>0</v>
      </c>
      <c r="H47" s="2">
        <v>0</v>
      </c>
      <c r="I47" s="116">
        <v>0</v>
      </c>
      <c r="J47" s="4">
        <v>0</v>
      </c>
      <c r="K47" s="4">
        <v>0</v>
      </c>
      <c r="L47" s="3">
        <v>0</v>
      </c>
      <c r="M47" s="2">
        <v>0</v>
      </c>
      <c r="N47" s="4">
        <v>0</v>
      </c>
      <c r="O47" s="117" t="s">
        <v>249</v>
      </c>
      <c r="P47" s="3">
        <v>0</v>
      </c>
      <c r="Q47" s="3"/>
      <c r="R47" s="167">
        <f t="shared" si="1"/>
        <v>0</v>
      </c>
      <c r="S47" s="167">
        <f t="shared" si="2"/>
        <v>0</v>
      </c>
      <c r="T47" s="168">
        <f t="shared" si="3"/>
        <v>0</v>
      </c>
      <c r="U47" s="168">
        <f t="shared" si="4"/>
        <v>0</v>
      </c>
    </row>
    <row r="48" spans="1:21" ht="15.75" x14ac:dyDescent="0.25">
      <c r="A48" s="70">
        <f t="shared" si="0"/>
        <v>135</v>
      </c>
      <c r="B48" s="71">
        <v>22</v>
      </c>
      <c r="C48" s="96" t="s">
        <v>7</v>
      </c>
      <c r="D48" s="10">
        <v>2</v>
      </c>
      <c r="E48" s="10">
        <v>2</v>
      </c>
      <c r="F48" s="4">
        <v>10</v>
      </c>
      <c r="G48" s="4">
        <v>0</v>
      </c>
      <c r="H48" s="2">
        <v>0</v>
      </c>
      <c r="I48" s="116">
        <v>0</v>
      </c>
      <c r="J48" s="4">
        <v>0</v>
      </c>
      <c r="K48" s="4">
        <v>0</v>
      </c>
      <c r="L48" s="3">
        <v>0</v>
      </c>
      <c r="M48" s="2">
        <v>0</v>
      </c>
      <c r="N48" s="4">
        <v>0</v>
      </c>
      <c r="O48" s="117">
        <v>0</v>
      </c>
      <c r="P48" s="3">
        <v>0</v>
      </c>
      <c r="Q48" s="3">
        <v>0</v>
      </c>
      <c r="R48" s="167">
        <f t="shared" si="1"/>
        <v>0</v>
      </c>
      <c r="S48" s="167">
        <f t="shared" si="2"/>
        <v>0</v>
      </c>
      <c r="T48" s="168">
        <f t="shared" si="3"/>
        <v>0</v>
      </c>
      <c r="U48" s="168">
        <f t="shared" si="4"/>
        <v>0</v>
      </c>
    </row>
    <row r="49" spans="1:21" ht="15.75" x14ac:dyDescent="0.25">
      <c r="A49" s="70">
        <f t="shared" si="0"/>
        <v>135</v>
      </c>
      <c r="B49" s="71">
        <v>23</v>
      </c>
      <c r="C49" s="96" t="s">
        <v>17</v>
      </c>
      <c r="D49" s="10">
        <v>0</v>
      </c>
      <c r="E49" s="10">
        <v>0</v>
      </c>
      <c r="F49" s="4">
        <v>0</v>
      </c>
      <c r="G49" s="4">
        <v>0</v>
      </c>
      <c r="H49" s="2">
        <v>0</v>
      </c>
      <c r="I49" s="116">
        <v>0</v>
      </c>
      <c r="J49" s="4">
        <v>0</v>
      </c>
      <c r="K49" s="4">
        <v>0</v>
      </c>
      <c r="L49" s="3">
        <v>0</v>
      </c>
      <c r="M49" s="2">
        <v>0</v>
      </c>
      <c r="N49" s="4">
        <v>0</v>
      </c>
      <c r="O49" s="117">
        <v>0</v>
      </c>
      <c r="P49" s="3">
        <v>0</v>
      </c>
      <c r="Q49" s="3">
        <v>0</v>
      </c>
      <c r="R49" s="167">
        <f t="shared" si="1"/>
        <v>0</v>
      </c>
      <c r="S49" s="167">
        <f t="shared" si="2"/>
        <v>0</v>
      </c>
      <c r="T49" s="168">
        <f t="shared" si="3"/>
        <v>0</v>
      </c>
      <c r="U49" s="168">
        <f t="shared" si="4"/>
        <v>0</v>
      </c>
    </row>
    <row r="50" spans="1:21" ht="15.75" x14ac:dyDescent="0.25">
      <c r="A50" s="70">
        <f t="shared" si="0"/>
        <v>135</v>
      </c>
      <c r="B50" s="71">
        <v>24</v>
      </c>
      <c r="C50" s="96" t="s">
        <v>18</v>
      </c>
      <c r="D50" s="10">
        <v>0</v>
      </c>
      <c r="E50" s="10">
        <v>0</v>
      </c>
      <c r="F50" s="4">
        <v>0</v>
      </c>
      <c r="G50" s="4">
        <v>0</v>
      </c>
      <c r="H50" s="2">
        <v>0</v>
      </c>
      <c r="I50" s="116">
        <v>0</v>
      </c>
      <c r="J50" s="4">
        <v>0</v>
      </c>
      <c r="K50" s="4">
        <v>0</v>
      </c>
      <c r="L50" s="3">
        <v>0</v>
      </c>
      <c r="M50" s="2">
        <v>0</v>
      </c>
      <c r="N50" s="4">
        <v>0</v>
      </c>
      <c r="O50" s="117">
        <v>0</v>
      </c>
      <c r="P50" s="3">
        <v>0</v>
      </c>
      <c r="Q50" s="3">
        <v>0</v>
      </c>
      <c r="R50" s="167">
        <f t="shared" si="1"/>
        <v>0</v>
      </c>
      <c r="S50" s="167">
        <f t="shared" si="2"/>
        <v>0</v>
      </c>
      <c r="T50" s="168">
        <f t="shared" si="3"/>
        <v>0</v>
      </c>
      <c r="U50" s="168">
        <f t="shared" si="4"/>
        <v>0</v>
      </c>
    </row>
    <row r="51" spans="1:21" s="50" customFormat="1" ht="19.5" x14ac:dyDescent="0.35">
      <c r="A51" s="70">
        <f t="shared" si="0"/>
        <v>135</v>
      </c>
      <c r="B51" s="73" t="s">
        <v>70</v>
      </c>
      <c r="C51" s="74" t="s">
        <v>121</v>
      </c>
      <c r="D51" s="75"/>
      <c r="E51" s="76">
        <f t="shared" ref="E51:U51" si="5">SUM(E27:E50)</f>
        <v>67</v>
      </c>
      <c r="F51" s="165">
        <f t="shared" si="5"/>
        <v>298</v>
      </c>
      <c r="G51" s="77">
        <f t="shared" si="5"/>
        <v>0</v>
      </c>
      <c r="H51" s="165">
        <f t="shared" si="5"/>
        <v>122</v>
      </c>
      <c r="I51" s="77">
        <f t="shared" si="5"/>
        <v>0</v>
      </c>
      <c r="J51" s="77">
        <f t="shared" si="5"/>
        <v>62</v>
      </c>
      <c r="K51" s="77">
        <f t="shared" si="5"/>
        <v>0</v>
      </c>
      <c r="L51" s="77">
        <f t="shared" si="5"/>
        <v>28</v>
      </c>
      <c r="M51" s="77">
        <f t="shared" si="5"/>
        <v>0</v>
      </c>
      <c r="N51" s="77">
        <f t="shared" si="5"/>
        <v>102</v>
      </c>
      <c r="O51" s="77">
        <f t="shared" si="5"/>
        <v>0</v>
      </c>
      <c r="P51" s="77">
        <f t="shared" si="5"/>
        <v>25</v>
      </c>
      <c r="Q51" s="77">
        <f t="shared" si="5"/>
        <v>0</v>
      </c>
      <c r="R51" s="76">
        <f t="shared" si="5"/>
        <v>164</v>
      </c>
      <c r="S51" s="76">
        <f t="shared" si="5"/>
        <v>0</v>
      </c>
      <c r="T51" s="76">
        <f t="shared" si="5"/>
        <v>53</v>
      </c>
      <c r="U51" s="76">
        <f t="shared" si="5"/>
        <v>0</v>
      </c>
    </row>
    <row r="52" spans="1:21" ht="40.5" customHeight="1" x14ac:dyDescent="0.25">
      <c r="F52" s="104" t="s">
        <v>117</v>
      </c>
      <c r="G52" s="104"/>
      <c r="H52" s="106">
        <f>F51+H51</f>
        <v>420</v>
      </c>
      <c r="T52" s="31">
        <f>R51+T51</f>
        <v>217</v>
      </c>
    </row>
    <row r="53" spans="1:21" ht="63" customHeight="1" x14ac:dyDescent="0.25">
      <c r="F53" s="106" t="str">
        <f>IF('1'!AG19=H52, "пройдена сверка лист 1 и 3", "требуется проверка!")</f>
        <v>пройдена сверка лист 1 и 3</v>
      </c>
    </row>
  </sheetData>
  <sheetProtection password="CA9D" sheet="1" objects="1" scenarios="1" formatCells="0" formatColumns="0" formatRows="0"/>
  <conditionalFormatting sqref="O12:P18 F53">
    <cfRule type="containsText" dxfId="18" priority="10" operator="containsText" text="требуется">
      <formula>NOT(ISERROR(SEARCH("требуется",F12)))</formula>
    </cfRule>
  </conditionalFormatting>
  <conditionalFormatting sqref="K13">
    <cfRule type="containsText" dxfId="17" priority="3" operator="containsText" text="требуется">
      <formula>NOT(ISERROR(SEARCH("требуется",K13)))</formula>
    </cfRule>
  </conditionalFormatting>
  <conditionalFormatting sqref="K17">
    <cfRule type="containsText" dxfId="16" priority="2" operator="containsText" text="требуется">
      <formula>NOT(ISERROR(SEARCH("требуется",K17)))</formula>
    </cfRule>
  </conditionalFormatting>
  <conditionalFormatting sqref="H52">
    <cfRule type="containsText" dxfId="15" priority="1" operator="containsText" text="требуется">
      <formula>NOT(ISERROR(SEARCH("требуется",H52)))</formula>
    </cfRule>
  </conditionalFormatting>
  <dataValidations count="1">
    <dataValidation type="list" allowBlank="1" showInputMessage="1" showErrorMessage="1" sqref="J1">
      <formula1>etap</formula1>
    </dataValidation>
  </dataValidations>
  <pageMargins left="0.31496062992125984" right="0.11811023622047245" top="0.15748031496062992" bottom="0.15748031496062992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topLeftCell="A37" workbookViewId="0">
      <selection activeCell="F58" sqref="F58"/>
    </sheetView>
  </sheetViews>
  <sheetFormatPr defaultRowHeight="15" x14ac:dyDescent="0.25"/>
  <cols>
    <col min="1" max="1" width="19.42578125" style="46" customWidth="1"/>
    <col min="2" max="2" width="10.85546875" style="58" customWidth="1"/>
    <col min="3" max="3" width="25.85546875" style="46" customWidth="1"/>
    <col min="4" max="4" width="16.7109375" style="46" customWidth="1"/>
    <col min="5" max="5" width="16" style="46" customWidth="1"/>
    <col min="6" max="8" width="12.140625" style="46" customWidth="1"/>
    <col min="9" max="9" width="7.42578125" style="46" customWidth="1"/>
    <col min="10" max="10" width="10.140625" style="46" customWidth="1"/>
    <col min="11" max="11" width="8.140625" style="46" customWidth="1"/>
    <col min="12" max="12" width="7.28515625" style="46" customWidth="1"/>
    <col min="13" max="13" width="7.7109375" style="46" customWidth="1"/>
    <col min="14" max="14" width="12.140625" style="46" customWidth="1"/>
    <col min="15" max="15" width="5.42578125" style="46" customWidth="1"/>
    <col min="16" max="21" width="12.140625" style="46" customWidth="1"/>
    <col min="22" max="16384" width="9.140625" style="46"/>
  </cols>
  <sheetData>
    <row r="1" spans="1:24" s="5" customFormat="1" ht="31.5" customHeight="1" x14ac:dyDescent="0.3">
      <c r="A1" s="27" t="s">
        <v>71</v>
      </c>
      <c r="B1" s="226">
        <f>'1'!$B$1</f>
        <v>135</v>
      </c>
      <c r="C1" s="139"/>
      <c r="D1" s="138" t="str">
        <f>VLOOKUP(B1,mouo,2,0)</f>
        <v>Сонковский район</v>
      </c>
      <c r="E1" s="28"/>
      <c r="F1" s="28"/>
      <c r="G1" s="28"/>
      <c r="H1" s="29"/>
      <c r="I1" s="29"/>
      <c r="J1" s="227" t="str">
        <f>'1'!$I$1</f>
        <v>школьный этап</v>
      </c>
      <c r="K1" s="137"/>
      <c r="L1" s="137"/>
      <c r="M1" s="137"/>
      <c r="N1" s="137"/>
      <c r="P1" s="128"/>
      <c r="Q1" s="128"/>
      <c r="R1" s="128"/>
      <c r="S1" s="128"/>
      <c r="T1" s="128"/>
      <c r="U1" s="128"/>
    </row>
    <row r="2" spans="1:24" s="5" customFormat="1" ht="15.75" x14ac:dyDescent="0.25">
      <c r="A2" s="27"/>
      <c r="B2" s="49" t="s">
        <v>73</v>
      </c>
      <c r="C2" s="140"/>
      <c r="D2" s="46"/>
      <c r="E2" s="46"/>
      <c r="F2" s="46"/>
      <c r="G2" s="46"/>
      <c r="H2" s="46"/>
      <c r="I2" s="46"/>
      <c r="J2" s="49" t="s">
        <v>73</v>
      </c>
      <c r="L2" s="136"/>
      <c r="M2" s="136"/>
      <c r="N2" s="8"/>
      <c r="P2" s="128"/>
      <c r="Q2" s="128"/>
    </row>
    <row r="3" spans="1:24" s="56" customFormat="1" x14ac:dyDescent="0.25"/>
    <row r="4" spans="1:24" s="56" customFormat="1" ht="18.75" x14ac:dyDescent="0.3">
      <c r="A4" s="146" t="s">
        <v>178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4" x14ac:dyDescent="0.25">
      <c r="E5" s="59"/>
    </row>
    <row r="6" spans="1:24" s="60" customFormat="1" ht="31.5" x14ac:dyDescent="0.25">
      <c r="A6" s="157" t="s">
        <v>233</v>
      </c>
      <c r="B6" s="158"/>
      <c r="C6" s="158"/>
      <c r="D6" s="158"/>
      <c r="E6" s="18">
        <v>3</v>
      </c>
      <c r="Q6" s="63"/>
    </row>
    <row r="7" spans="1:24" s="60" customFormat="1" ht="24" customHeight="1" x14ac:dyDescent="0.25">
      <c r="B7" s="61" t="s">
        <v>169</v>
      </c>
      <c r="E7" s="18">
        <v>3</v>
      </c>
      <c r="Q7" s="63"/>
    </row>
    <row r="8" spans="1:24" s="60" customFormat="1" ht="15.75" x14ac:dyDescent="0.25">
      <c r="B8" s="58"/>
      <c r="O8" s="63"/>
      <c r="P8" s="63"/>
      <c r="Q8" s="63"/>
      <c r="R8" s="63"/>
      <c r="S8" s="63"/>
      <c r="T8" s="63"/>
      <c r="U8" s="63"/>
      <c r="V8" s="63"/>
    </row>
    <row r="9" spans="1:24" s="60" customFormat="1" ht="15.75" x14ac:dyDescent="0.25">
      <c r="B9" s="58"/>
      <c r="O9" s="63"/>
      <c r="P9" s="63"/>
      <c r="Q9" s="63"/>
      <c r="R9" s="63"/>
      <c r="S9" s="63"/>
      <c r="T9" s="63"/>
      <c r="U9" s="63"/>
      <c r="V9" s="63"/>
    </row>
    <row r="10" spans="1:24" s="60" customFormat="1" ht="15.75" x14ac:dyDescent="0.25">
      <c r="B10" s="58"/>
      <c r="C10" s="64" t="s">
        <v>67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 spans="1:24" s="60" customFormat="1" ht="15.75" x14ac:dyDescent="0.25">
      <c r="B11" s="58"/>
      <c r="E11" s="65" t="s">
        <v>64</v>
      </c>
      <c r="F11" s="65" t="s">
        <v>63</v>
      </c>
      <c r="G11" s="65" t="s">
        <v>68</v>
      </c>
      <c r="I11" s="115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</row>
    <row r="12" spans="1:24" s="60" customFormat="1" ht="15.75" x14ac:dyDescent="0.25">
      <c r="C12" s="61"/>
      <c r="E12" s="228"/>
      <c r="F12" s="228"/>
      <c r="G12" s="112"/>
      <c r="I12" s="115"/>
      <c r="L12" s="63"/>
      <c r="M12" s="63"/>
      <c r="N12" s="63"/>
      <c r="O12" s="48"/>
      <c r="P12" s="48"/>
      <c r="Q12" s="123"/>
      <c r="R12" s="97"/>
      <c r="S12" s="97"/>
      <c r="T12" s="97"/>
      <c r="U12" s="63"/>
      <c r="V12" s="63"/>
      <c r="W12" s="63"/>
      <c r="X12" s="63"/>
    </row>
    <row r="13" spans="1:24" s="60" customFormat="1" ht="15.75" x14ac:dyDescent="0.25">
      <c r="C13" s="61"/>
      <c r="E13" s="228"/>
      <c r="F13" s="228"/>
      <c r="G13" s="112"/>
      <c r="I13" s="115"/>
      <c r="L13" s="63"/>
      <c r="M13" s="63"/>
      <c r="N13" s="63"/>
      <c r="O13" s="48"/>
      <c r="P13" s="48"/>
      <c r="Q13" s="123"/>
      <c r="R13" s="98"/>
      <c r="S13" s="98"/>
      <c r="T13" s="98"/>
      <c r="U13" s="63"/>
      <c r="V13" s="63"/>
      <c r="W13" s="63"/>
      <c r="X13" s="63"/>
    </row>
    <row r="14" spans="1:24" s="60" customFormat="1" ht="15.75" x14ac:dyDescent="0.25">
      <c r="C14" s="111" t="s">
        <v>164</v>
      </c>
      <c r="E14" s="9">
        <v>46</v>
      </c>
      <c r="F14" s="9">
        <v>1</v>
      </c>
      <c r="G14" s="104">
        <f>SUM(E14:F14)</f>
        <v>47</v>
      </c>
      <c r="I14" s="104" t="s">
        <v>203</v>
      </c>
      <c r="J14" s="105"/>
      <c r="K14" s="40" t="str">
        <f>IF(G14=SUM('1'!C14:D15),"пройдена сверка лист 1 и 3", "требуется проверка")</f>
        <v>пройдена сверка лист 1 и 3</v>
      </c>
      <c r="L14" s="63"/>
      <c r="M14" s="63"/>
      <c r="N14" s="63"/>
      <c r="O14" s="48"/>
      <c r="P14" s="48"/>
      <c r="Q14" s="123"/>
      <c r="R14" s="98"/>
      <c r="S14" s="98"/>
      <c r="T14" s="98"/>
      <c r="U14" s="63"/>
      <c r="V14" s="63"/>
    </row>
    <row r="15" spans="1:24" s="60" customFormat="1" ht="15.75" x14ac:dyDescent="0.25">
      <c r="B15" s="124" t="s">
        <v>176</v>
      </c>
      <c r="C15" s="124"/>
      <c r="E15" s="228"/>
      <c r="F15" s="228"/>
      <c r="G15" s="112"/>
      <c r="I15" s="115"/>
      <c r="L15" s="63"/>
      <c r="M15" s="63"/>
      <c r="N15" s="63"/>
      <c r="O15" s="48"/>
      <c r="P15" s="48"/>
      <c r="Q15" s="123"/>
      <c r="R15" s="98"/>
      <c r="S15" s="98"/>
      <c r="T15" s="98"/>
      <c r="U15" s="63"/>
      <c r="V15" s="63"/>
    </row>
    <row r="16" spans="1:24" s="60" customFormat="1" ht="15.75" x14ac:dyDescent="0.25">
      <c r="B16" s="124"/>
      <c r="C16" s="125"/>
      <c r="E16" s="228"/>
      <c r="F16" s="228"/>
      <c r="G16" s="112"/>
      <c r="L16" s="63"/>
      <c r="M16" s="63"/>
      <c r="N16" s="63"/>
      <c r="O16" s="48"/>
      <c r="P16" s="48"/>
      <c r="Q16" s="123"/>
      <c r="R16" s="98"/>
      <c r="S16" s="98"/>
      <c r="T16" s="98"/>
      <c r="U16" s="63"/>
      <c r="V16" s="63"/>
    </row>
    <row r="17" spans="1:22" s="60" customFormat="1" ht="15.75" x14ac:dyDescent="0.25">
      <c r="B17" s="124"/>
      <c r="C17" s="125"/>
      <c r="E17" s="228"/>
      <c r="F17" s="228"/>
      <c r="G17" s="112"/>
      <c r="L17" s="63"/>
      <c r="M17" s="63"/>
      <c r="N17" s="63"/>
      <c r="O17" s="48"/>
      <c r="P17" s="48"/>
      <c r="Q17" s="123"/>
      <c r="R17" s="98"/>
      <c r="S17" s="98"/>
      <c r="T17" s="98"/>
      <c r="U17" s="63"/>
      <c r="V17" s="63"/>
    </row>
    <row r="18" spans="1:22" s="60" customFormat="1" ht="15.75" x14ac:dyDescent="0.25">
      <c r="B18" s="126"/>
      <c r="C18" s="127" t="s">
        <v>164</v>
      </c>
      <c r="E18" s="9">
        <v>27</v>
      </c>
      <c r="F18" s="9">
        <v>0</v>
      </c>
      <c r="G18" s="104">
        <f>SUM(E18:F18)</f>
        <v>27</v>
      </c>
      <c r="I18" s="104" t="s">
        <v>203</v>
      </c>
      <c r="J18" s="105"/>
      <c r="K18" s="40" t="str">
        <f>IF(G18=SUM('1'!I14:AF15),"пройдена сверка лист 1 и 3", "требуется проверка")</f>
        <v>пройдена сверка лист 1 и 3</v>
      </c>
      <c r="L18" s="63"/>
      <c r="M18" s="63"/>
      <c r="N18" s="63"/>
      <c r="O18" s="48"/>
      <c r="P18" s="48"/>
      <c r="Q18" s="123"/>
      <c r="R18" s="98"/>
      <c r="S18" s="98"/>
      <c r="T18" s="98"/>
      <c r="U18" s="63"/>
      <c r="V18" s="63"/>
    </row>
    <row r="19" spans="1:22" s="60" customFormat="1" ht="15.75" x14ac:dyDescent="0.25">
      <c r="B19" s="113" t="s">
        <v>69</v>
      </c>
      <c r="C19" s="114"/>
      <c r="E19" s="228"/>
      <c r="F19" s="228"/>
      <c r="G19" s="112"/>
      <c r="L19" s="63"/>
      <c r="M19" s="63"/>
      <c r="N19" s="98"/>
      <c r="O19" s="98"/>
      <c r="P19" s="98"/>
      <c r="Q19" s="98"/>
      <c r="R19" s="98"/>
      <c r="S19" s="98"/>
      <c r="T19" s="98"/>
      <c r="U19" s="63"/>
      <c r="V19" s="63"/>
    </row>
    <row r="20" spans="1:22" s="60" customFormat="1" ht="15.75" x14ac:dyDescent="0.25">
      <c r="B20" s="67"/>
      <c r="C20" s="61"/>
      <c r="E20" s="228"/>
      <c r="F20" s="228"/>
      <c r="G20" s="112"/>
      <c r="I20" s="67"/>
      <c r="L20" s="63"/>
      <c r="M20" s="63"/>
      <c r="N20" s="98"/>
      <c r="O20" s="98"/>
      <c r="P20" s="98"/>
      <c r="Q20" s="98"/>
      <c r="R20" s="98"/>
      <c r="S20" s="98"/>
      <c r="T20" s="98"/>
      <c r="U20" s="63"/>
      <c r="V20" s="63"/>
    </row>
    <row r="21" spans="1:22" s="60" customFormat="1" ht="15.75" x14ac:dyDescent="0.25">
      <c r="B21" s="67"/>
      <c r="C21" s="61"/>
      <c r="E21" s="228"/>
      <c r="F21" s="228"/>
      <c r="G21" s="112"/>
      <c r="I21" s="67"/>
      <c r="N21" s="67"/>
      <c r="O21" s="67"/>
      <c r="P21" s="67"/>
      <c r="Q21" s="67"/>
      <c r="R21" s="67"/>
      <c r="S21" s="67"/>
      <c r="T21" s="67"/>
      <c r="U21" s="63"/>
    </row>
    <row r="22" spans="1:22" s="60" customFormat="1" ht="15.75" x14ac:dyDescent="0.25">
      <c r="B22" s="67"/>
      <c r="C22" s="134" t="s">
        <v>164</v>
      </c>
      <c r="E22" s="9">
        <v>0</v>
      </c>
      <c r="F22" s="9">
        <v>0</v>
      </c>
      <c r="G22" s="66">
        <f>SUM(E22:F22)</f>
        <v>0</v>
      </c>
      <c r="I22" s="67"/>
      <c r="N22" s="67"/>
      <c r="O22" s="67"/>
      <c r="P22" s="67"/>
      <c r="Q22" s="67"/>
      <c r="R22" s="67"/>
      <c r="S22" s="67"/>
      <c r="T22" s="67"/>
      <c r="U22" s="63"/>
    </row>
    <row r="23" spans="1:22" x14ac:dyDescent="0.25">
      <c r="B23" s="170"/>
      <c r="C23" s="59"/>
    </row>
    <row r="24" spans="1:22" ht="45" x14ac:dyDescent="0.25">
      <c r="A24" s="62" t="s">
        <v>75</v>
      </c>
      <c r="B24" s="172" t="s">
        <v>0</v>
      </c>
      <c r="C24" s="173" t="s">
        <v>1</v>
      </c>
      <c r="D24" s="53" t="s">
        <v>157</v>
      </c>
      <c r="E24" s="53" t="s">
        <v>61</v>
      </c>
      <c r="F24" s="144" t="s">
        <v>179</v>
      </c>
      <c r="G24" s="144"/>
      <c r="H24" s="145"/>
      <c r="I24" s="145"/>
      <c r="J24" s="51" t="s">
        <v>2</v>
      </c>
      <c r="K24" s="51"/>
      <c r="L24" s="51"/>
      <c r="M24" s="52"/>
      <c r="N24" s="51" t="s">
        <v>3</v>
      </c>
      <c r="O24" s="51"/>
      <c r="P24" s="51"/>
      <c r="Q24" s="52"/>
      <c r="R24" s="51" t="s">
        <v>56</v>
      </c>
      <c r="S24" s="51"/>
      <c r="T24" s="51"/>
      <c r="U24" s="52"/>
    </row>
    <row r="25" spans="1:22" x14ac:dyDescent="0.25">
      <c r="A25" s="93" t="s">
        <v>73</v>
      </c>
      <c r="B25" s="171"/>
      <c r="D25" s="187"/>
      <c r="E25" s="187"/>
      <c r="F25" s="120" t="s">
        <v>64</v>
      </c>
      <c r="G25" s="120"/>
      <c r="H25" s="121" t="s">
        <v>63</v>
      </c>
      <c r="I25" s="122"/>
      <c r="J25" s="120" t="s">
        <v>64</v>
      </c>
      <c r="K25" s="120"/>
      <c r="L25" s="121" t="s">
        <v>63</v>
      </c>
      <c r="M25" s="122"/>
      <c r="N25" s="120" t="s">
        <v>64</v>
      </c>
      <c r="O25" s="120"/>
      <c r="P25" s="121" t="s">
        <v>63</v>
      </c>
      <c r="Q25" s="122"/>
      <c r="R25" s="120" t="s">
        <v>64</v>
      </c>
      <c r="S25" s="120"/>
      <c r="T25" s="121" t="s">
        <v>63</v>
      </c>
      <c r="U25" s="122"/>
    </row>
    <row r="26" spans="1:22" s="68" customFormat="1" ht="102" x14ac:dyDescent="0.25">
      <c r="A26" s="141"/>
      <c r="B26" s="142"/>
      <c r="C26" s="95" t="s">
        <v>148</v>
      </c>
      <c r="D26" s="143"/>
      <c r="E26" s="143"/>
      <c r="F26" s="133" t="s">
        <v>165</v>
      </c>
      <c r="G26" s="133" t="s">
        <v>167</v>
      </c>
      <c r="H26" s="133" t="s">
        <v>165</v>
      </c>
      <c r="I26" s="133" t="s">
        <v>167</v>
      </c>
      <c r="J26" s="133" t="s">
        <v>165</v>
      </c>
      <c r="K26" s="133" t="s">
        <v>167</v>
      </c>
      <c r="L26" s="133" t="s">
        <v>165</v>
      </c>
      <c r="M26" s="133" t="s">
        <v>167</v>
      </c>
      <c r="N26" s="133" t="s">
        <v>165</v>
      </c>
      <c r="O26" s="133" t="s">
        <v>167</v>
      </c>
      <c r="P26" s="133" t="s">
        <v>165</v>
      </c>
      <c r="Q26" s="133" t="s">
        <v>167</v>
      </c>
      <c r="R26" s="133" t="s">
        <v>165</v>
      </c>
      <c r="S26" s="133" t="s">
        <v>167</v>
      </c>
      <c r="T26" s="133" t="s">
        <v>165</v>
      </c>
      <c r="U26" s="133" t="s">
        <v>167</v>
      </c>
    </row>
    <row r="27" spans="1:22" ht="15.75" x14ac:dyDescent="0.25">
      <c r="A27" s="70">
        <f>$B$1</f>
        <v>135</v>
      </c>
      <c r="B27" s="71">
        <v>1</v>
      </c>
      <c r="C27" s="96" t="s">
        <v>13</v>
      </c>
      <c r="D27" s="10">
        <v>2</v>
      </c>
      <c r="E27" s="10">
        <v>2</v>
      </c>
      <c r="F27" s="4">
        <v>6</v>
      </c>
      <c r="G27" s="4">
        <v>0</v>
      </c>
      <c r="H27" s="2">
        <v>0</v>
      </c>
      <c r="I27" s="116">
        <v>0</v>
      </c>
      <c r="J27" s="4">
        <v>2</v>
      </c>
      <c r="K27" s="4">
        <v>0</v>
      </c>
      <c r="L27" s="3">
        <v>0</v>
      </c>
      <c r="M27" s="2">
        <v>0</v>
      </c>
      <c r="N27" s="4">
        <v>3</v>
      </c>
      <c r="O27" s="117">
        <v>0</v>
      </c>
      <c r="P27" s="3">
        <v>0</v>
      </c>
      <c r="Q27" s="3">
        <v>0</v>
      </c>
      <c r="R27" s="167">
        <f>SUM(J27,N27)</f>
        <v>5</v>
      </c>
      <c r="S27" s="167">
        <f>SUM(K27,O27)</f>
        <v>0</v>
      </c>
      <c r="T27" s="168">
        <f>SUM(L27,P27)</f>
        <v>0</v>
      </c>
      <c r="U27" s="168">
        <f>SUM(M27,Q27)</f>
        <v>0</v>
      </c>
    </row>
    <row r="28" spans="1:22" ht="15.75" x14ac:dyDescent="0.25">
      <c r="A28" s="70">
        <f t="shared" ref="A28:A51" si="0">$B$1</f>
        <v>135</v>
      </c>
      <c r="B28" s="71">
        <v>2</v>
      </c>
      <c r="C28" s="96" t="s">
        <v>19</v>
      </c>
      <c r="D28" s="10">
        <v>1</v>
      </c>
      <c r="E28" s="10">
        <v>1</v>
      </c>
      <c r="F28" s="4">
        <v>2</v>
      </c>
      <c r="G28" s="4">
        <v>0</v>
      </c>
      <c r="H28" s="2">
        <v>0</v>
      </c>
      <c r="I28" s="116">
        <v>0</v>
      </c>
      <c r="J28" s="4">
        <v>0</v>
      </c>
      <c r="K28" s="4">
        <v>0</v>
      </c>
      <c r="L28" s="3">
        <v>0</v>
      </c>
      <c r="M28" s="2">
        <v>0</v>
      </c>
      <c r="N28" s="4">
        <v>0</v>
      </c>
      <c r="O28" s="117">
        <v>0</v>
      </c>
      <c r="P28" s="3">
        <v>0</v>
      </c>
      <c r="Q28" s="3">
        <v>0</v>
      </c>
      <c r="R28" s="167">
        <f t="shared" ref="R28:U50" si="1">SUM(J28,N28)</f>
        <v>0</v>
      </c>
      <c r="S28" s="167">
        <f t="shared" si="1"/>
        <v>0</v>
      </c>
      <c r="T28" s="168">
        <f t="shared" si="1"/>
        <v>0</v>
      </c>
      <c r="U28" s="168">
        <f t="shared" si="1"/>
        <v>0</v>
      </c>
    </row>
    <row r="29" spans="1:22" ht="15.75" x14ac:dyDescent="0.25">
      <c r="A29" s="70">
        <f t="shared" si="0"/>
        <v>135</v>
      </c>
      <c r="B29" s="71">
        <v>3</v>
      </c>
      <c r="C29" s="96" t="s">
        <v>8</v>
      </c>
      <c r="D29" s="10">
        <v>2</v>
      </c>
      <c r="E29" s="10">
        <v>2</v>
      </c>
      <c r="F29" s="4">
        <v>6</v>
      </c>
      <c r="G29" s="4">
        <v>0</v>
      </c>
      <c r="H29" s="2">
        <v>0</v>
      </c>
      <c r="I29" s="116">
        <v>0</v>
      </c>
      <c r="J29" s="4">
        <v>2</v>
      </c>
      <c r="K29" s="4">
        <v>0</v>
      </c>
      <c r="L29" s="3">
        <v>0</v>
      </c>
      <c r="M29" s="2">
        <v>0</v>
      </c>
      <c r="N29" s="4">
        <v>2</v>
      </c>
      <c r="O29" s="117">
        <v>0</v>
      </c>
      <c r="P29" s="3">
        <v>0</v>
      </c>
      <c r="Q29" s="3">
        <v>0</v>
      </c>
      <c r="R29" s="167">
        <f t="shared" si="1"/>
        <v>4</v>
      </c>
      <c r="S29" s="167">
        <f t="shared" si="1"/>
        <v>0</v>
      </c>
      <c r="T29" s="168">
        <f t="shared" si="1"/>
        <v>0</v>
      </c>
      <c r="U29" s="168">
        <f t="shared" si="1"/>
        <v>0</v>
      </c>
    </row>
    <row r="30" spans="1:22" ht="15.75" x14ac:dyDescent="0.25">
      <c r="A30" s="70">
        <f t="shared" si="0"/>
        <v>135</v>
      </c>
      <c r="B30" s="71">
        <v>4</v>
      </c>
      <c r="C30" s="96" t="s">
        <v>9</v>
      </c>
      <c r="D30" s="10">
        <v>2</v>
      </c>
      <c r="E30" s="10">
        <v>2</v>
      </c>
      <c r="F30" s="4">
        <v>8</v>
      </c>
      <c r="G30" s="4">
        <v>0</v>
      </c>
      <c r="H30" s="2">
        <v>0</v>
      </c>
      <c r="I30" s="116">
        <v>0</v>
      </c>
      <c r="J30" s="4">
        <v>0</v>
      </c>
      <c r="K30" s="4">
        <v>0</v>
      </c>
      <c r="L30" s="3">
        <v>0</v>
      </c>
      <c r="M30" s="2">
        <v>0</v>
      </c>
      <c r="N30" s="4">
        <v>1</v>
      </c>
      <c r="O30" s="117">
        <v>0</v>
      </c>
      <c r="P30" s="3">
        <v>0</v>
      </c>
      <c r="Q30" s="3">
        <v>0</v>
      </c>
      <c r="R30" s="167">
        <f t="shared" si="1"/>
        <v>1</v>
      </c>
      <c r="S30" s="167">
        <f t="shared" si="1"/>
        <v>0</v>
      </c>
      <c r="T30" s="168">
        <f t="shared" si="1"/>
        <v>0</v>
      </c>
      <c r="U30" s="168">
        <f t="shared" si="1"/>
        <v>0</v>
      </c>
    </row>
    <row r="31" spans="1:22" ht="15.75" x14ac:dyDescent="0.25">
      <c r="A31" s="70">
        <f t="shared" si="0"/>
        <v>135</v>
      </c>
      <c r="B31" s="71">
        <v>5</v>
      </c>
      <c r="C31" s="96" t="s">
        <v>58</v>
      </c>
      <c r="D31" s="10">
        <v>1</v>
      </c>
      <c r="E31" s="10">
        <v>1</v>
      </c>
      <c r="F31" s="4">
        <v>1</v>
      </c>
      <c r="G31" s="4">
        <v>0</v>
      </c>
      <c r="H31" s="2">
        <v>0</v>
      </c>
      <c r="I31" s="116">
        <v>0</v>
      </c>
      <c r="J31" s="4">
        <v>0</v>
      </c>
      <c r="K31" s="4">
        <v>0</v>
      </c>
      <c r="L31" s="3">
        <v>0</v>
      </c>
      <c r="M31" s="2">
        <v>0</v>
      </c>
      <c r="N31" s="4">
        <v>0</v>
      </c>
      <c r="O31" s="117">
        <v>0</v>
      </c>
      <c r="P31" s="3">
        <v>0</v>
      </c>
      <c r="Q31" s="3">
        <v>0</v>
      </c>
      <c r="R31" s="167">
        <f t="shared" si="1"/>
        <v>0</v>
      </c>
      <c r="S31" s="167">
        <f t="shared" si="1"/>
        <v>0</v>
      </c>
      <c r="T31" s="168">
        <f t="shared" si="1"/>
        <v>0</v>
      </c>
      <c r="U31" s="168">
        <f t="shared" si="1"/>
        <v>0</v>
      </c>
    </row>
    <row r="32" spans="1:22" ht="33.75" customHeight="1" x14ac:dyDescent="0.25">
      <c r="A32" s="70">
        <f t="shared" si="0"/>
        <v>135</v>
      </c>
      <c r="B32" s="72">
        <v>6</v>
      </c>
      <c r="C32" s="96" t="s">
        <v>59</v>
      </c>
      <c r="D32" s="10">
        <v>1</v>
      </c>
      <c r="E32" s="10">
        <v>1</v>
      </c>
      <c r="F32" s="4">
        <v>1</v>
      </c>
      <c r="G32" s="4">
        <v>0</v>
      </c>
      <c r="H32" s="2">
        <v>0</v>
      </c>
      <c r="I32" s="116">
        <v>0</v>
      </c>
      <c r="J32" s="4">
        <v>1</v>
      </c>
      <c r="K32" s="4">
        <v>0</v>
      </c>
      <c r="L32" s="3">
        <v>0</v>
      </c>
      <c r="M32" s="2">
        <v>0</v>
      </c>
      <c r="N32" s="4">
        <v>0</v>
      </c>
      <c r="O32" s="117">
        <v>0</v>
      </c>
      <c r="P32" s="3">
        <v>0</v>
      </c>
      <c r="Q32" s="3">
        <v>0</v>
      </c>
      <c r="R32" s="167">
        <f t="shared" si="1"/>
        <v>1</v>
      </c>
      <c r="S32" s="167">
        <f t="shared" si="1"/>
        <v>0</v>
      </c>
      <c r="T32" s="168">
        <f t="shared" si="1"/>
        <v>0</v>
      </c>
      <c r="U32" s="168">
        <f t="shared" si="1"/>
        <v>0</v>
      </c>
    </row>
    <row r="33" spans="1:21" ht="15.75" x14ac:dyDescent="0.25">
      <c r="A33" s="70">
        <f t="shared" si="0"/>
        <v>135</v>
      </c>
      <c r="B33" s="71">
        <v>7</v>
      </c>
      <c r="C33" s="96" t="s">
        <v>55</v>
      </c>
      <c r="D33" s="10">
        <v>0</v>
      </c>
      <c r="E33" s="10">
        <v>0</v>
      </c>
      <c r="F33" s="4">
        <v>0</v>
      </c>
      <c r="G33" s="4">
        <v>0</v>
      </c>
      <c r="H33" s="2">
        <v>0</v>
      </c>
      <c r="I33" s="116">
        <v>0</v>
      </c>
      <c r="J33" s="4">
        <v>0</v>
      </c>
      <c r="K33" s="4">
        <v>0</v>
      </c>
      <c r="L33" s="3">
        <v>0</v>
      </c>
      <c r="M33" s="2">
        <v>0</v>
      </c>
      <c r="N33" s="4">
        <v>0</v>
      </c>
      <c r="O33" s="117">
        <v>0</v>
      </c>
      <c r="P33" s="3">
        <v>0</v>
      </c>
      <c r="Q33" s="3">
        <v>0</v>
      </c>
      <c r="R33" s="167">
        <f t="shared" si="1"/>
        <v>0</v>
      </c>
      <c r="S33" s="167">
        <f t="shared" si="1"/>
        <v>0</v>
      </c>
      <c r="T33" s="168">
        <f t="shared" si="1"/>
        <v>0</v>
      </c>
      <c r="U33" s="168">
        <f t="shared" si="1"/>
        <v>0</v>
      </c>
    </row>
    <row r="34" spans="1:21" ht="15.75" x14ac:dyDescent="0.25">
      <c r="A34" s="70">
        <f t="shared" si="0"/>
        <v>135</v>
      </c>
      <c r="B34" s="71">
        <v>8</v>
      </c>
      <c r="C34" s="96" t="s">
        <v>10</v>
      </c>
      <c r="D34" s="10">
        <v>2</v>
      </c>
      <c r="E34" s="10">
        <v>2</v>
      </c>
      <c r="F34" s="4">
        <v>5</v>
      </c>
      <c r="G34" s="4">
        <v>0</v>
      </c>
      <c r="H34" s="2">
        <v>0</v>
      </c>
      <c r="I34" s="116">
        <v>0</v>
      </c>
      <c r="J34" s="4">
        <v>3</v>
      </c>
      <c r="K34" s="4">
        <v>0</v>
      </c>
      <c r="L34" s="3">
        <v>0</v>
      </c>
      <c r="M34" s="2">
        <v>0</v>
      </c>
      <c r="N34" s="4">
        <v>2</v>
      </c>
      <c r="O34" s="117">
        <v>0</v>
      </c>
      <c r="P34" s="3">
        <v>0</v>
      </c>
      <c r="Q34" s="3">
        <v>0</v>
      </c>
      <c r="R34" s="167">
        <f t="shared" si="1"/>
        <v>5</v>
      </c>
      <c r="S34" s="167">
        <f t="shared" si="1"/>
        <v>0</v>
      </c>
      <c r="T34" s="168">
        <f t="shared" si="1"/>
        <v>0</v>
      </c>
      <c r="U34" s="168">
        <f t="shared" si="1"/>
        <v>0</v>
      </c>
    </row>
    <row r="35" spans="1:21" ht="15.75" x14ac:dyDescent="0.25">
      <c r="A35" s="70">
        <f t="shared" si="0"/>
        <v>135</v>
      </c>
      <c r="B35" s="71">
        <v>9</v>
      </c>
      <c r="C35" s="96" t="s">
        <v>155</v>
      </c>
      <c r="D35" s="10">
        <v>0</v>
      </c>
      <c r="E35" s="10">
        <v>0</v>
      </c>
      <c r="F35" s="4">
        <v>0</v>
      </c>
      <c r="G35" s="4">
        <v>0</v>
      </c>
      <c r="H35" s="2">
        <v>0</v>
      </c>
      <c r="I35" s="116">
        <v>0</v>
      </c>
      <c r="J35" s="4">
        <v>0</v>
      </c>
      <c r="K35" s="4">
        <v>0</v>
      </c>
      <c r="L35" s="3">
        <v>0</v>
      </c>
      <c r="M35" s="2">
        <v>0</v>
      </c>
      <c r="N35" s="4">
        <v>0</v>
      </c>
      <c r="O35" s="117">
        <v>0</v>
      </c>
      <c r="P35" s="3">
        <v>0</v>
      </c>
      <c r="Q35" s="3">
        <v>0</v>
      </c>
      <c r="R35" s="167">
        <f t="shared" si="1"/>
        <v>0</v>
      </c>
      <c r="S35" s="167">
        <f t="shared" si="1"/>
        <v>0</v>
      </c>
      <c r="T35" s="168">
        <f t="shared" si="1"/>
        <v>0</v>
      </c>
      <c r="U35" s="168">
        <f t="shared" si="1"/>
        <v>0</v>
      </c>
    </row>
    <row r="36" spans="1:21" ht="15.75" x14ac:dyDescent="0.25">
      <c r="A36" s="70">
        <f t="shared" si="0"/>
        <v>135</v>
      </c>
      <c r="B36" s="71">
        <v>10</v>
      </c>
      <c r="C36" s="96" t="s">
        <v>156</v>
      </c>
      <c r="D36" s="10">
        <v>0</v>
      </c>
      <c r="E36" s="10">
        <v>0</v>
      </c>
      <c r="F36" s="4">
        <v>0</v>
      </c>
      <c r="G36" s="4">
        <v>0</v>
      </c>
      <c r="H36" s="2">
        <v>0</v>
      </c>
      <c r="I36" s="116">
        <v>0</v>
      </c>
      <c r="J36" s="4">
        <v>0</v>
      </c>
      <c r="K36" s="4">
        <v>0</v>
      </c>
      <c r="L36" s="3">
        <v>0</v>
      </c>
      <c r="M36" s="2">
        <v>0</v>
      </c>
      <c r="N36" s="4">
        <v>0</v>
      </c>
      <c r="O36" s="117">
        <v>0</v>
      </c>
      <c r="P36" s="3">
        <v>0</v>
      </c>
      <c r="Q36" s="3">
        <v>0</v>
      </c>
      <c r="R36" s="167">
        <f t="shared" si="1"/>
        <v>0</v>
      </c>
      <c r="S36" s="167">
        <f t="shared" si="1"/>
        <v>0</v>
      </c>
      <c r="T36" s="168">
        <f t="shared" si="1"/>
        <v>0</v>
      </c>
      <c r="U36" s="168">
        <f t="shared" si="1"/>
        <v>0</v>
      </c>
    </row>
    <row r="37" spans="1:21" ht="15.75" x14ac:dyDescent="0.25">
      <c r="A37" s="70">
        <f t="shared" si="0"/>
        <v>135</v>
      </c>
      <c r="B37" s="71">
        <v>11</v>
      </c>
      <c r="C37" s="96" t="s">
        <v>5</v>
      </c>
      <c r="D37" s="10">
        <v>2</v>
      </c>
      <c r="E37" s="10">
        <v>2</v>
      </c>
      <c r="F37" s="4">
        <v>5</v>
      </c>
      <c r="G37" s="4">
        <v>0</v>
      </c>
      <c r="H37" s="2">
        <v>0</v>
      </c>
      <c r="I37" s="116">
        <v>0</v>
      </c>
      <c r="J37" s="4">
        <v>2</v>
      </c>
      <c r="K37" s="4">
        <v>0</v>
      </c>
      <c r="L37" s="3">
        <v>0</v>
      </c>
      <c r="M37" s="2">
        <v>0</v>
      </c>
      <c r="N37" s="4">
        <v>1</v>
      </c>
      <c r="O37" s="117">
        <v>0</v>
      </c>
      <c r="P37" s="3">
        <v>0</v>
      </c>
      <c r="Q37" s="3">
        <v>0</v>
      </c>
      <c r="R37" s="167">
        <f t="shared" si="1"/>
        <v>3</v>
      </c>
      <c r="S37" s="167">
        <f t="shared" si="1"/>
        <v>0</v>
      </c>
      <c r="T37" s="168">
        <f t="shared" si="1"/>
        <v>0</v>
      </c>
      <c r="U37" s="168">
        <f t="shared" si="1"/>
        <v>0</v>
      </c>
    </row>
    <row r="38" spans="1:21" ht="15.75" x14ac:dyDescent="0.25">
      <c r="A38" s="70">
        <f t="shared" si="0"/>
        <v>135</v>
      </c>
      <c r="B38" s="71">
        <v>12</v>
      </c>
      <c r="C38" s="96" t="s">
        <v>20</v>
      </c>
      <c r="D38" s="10">
        <v>2</v>
      </c>
      <c r="E38" s="10">
        <v>2</v>
      </c>
      <c r="F38" s="4">
        <v>10</v>
      </c>
      <c r="G38" s="4">
        <v>0</v>
      </c>
      <c r="H38" s="2">
        <v>0</v>
      </c>
      <c r="I38" s="116">
        <v>0</v>
      </c>
      <c r="J38" s="4">
        <v>0</v>
      </c>
      <c r="K38" s="4">
        <v>0</v>
      </c>
      <c r="L38" s="3">
        <v>0</v>
      </c>
      <c r="M38" s="2">
        <v>0</v>
      </c>
      <c r="N38" s="4">
        <v>0</v>
      </c>
      <c r="O38" s="117">
        <v>0</v>
      </c>
      <c r="P38" s="3">
        <v>0</v>
      </c>
      <c r="Q38" s="3">
        <v>0</v>
      </c>
      <c r="R38" s="167">
        <f t="shared" si="1"/>
        <v>0</v>
      </c>
      <c r="S38" s="167">
        <f t="shared" si="1"/>
        <v>0</v>
      </c>
      <c r="T38" s="168">
        <f t="shared" si="1"/>
        <v>0</v>
      </c>
      <c r="U38" s="168">
        <f t="shared" si="1"/>
        <v>0</v>
      </c>
    </row>
    <row r="39" spans="1:21" ht="15.75" x14ac:dyDescent="0.25">
      <c r="A39" s="70">
        <f t="shared" si="0"/>
        <v>135</v>
      </c>
      <c r="B39" s="71">
        <v>13</v>
      </c>
      <c r="C39" s="96" t="s">
        <v>21</v>
      </c>
      <c r="D39" s="10">
        <v>0</v>
      </c>
      <c r="E39" s="10">
        <v>0</v>
      </c>
      <c r="F39" s="4">
        <v>0</v>
      </c>
      <c r="G39" s="4">
        <v>0</v>
      </c>
      <c r="H39" s="2">
        <v>0</v>
      </c>
      <c r="I39" s="116">
        <v>0</v>
      </c>
      <c r="J39" s="4">
        <v>0</v>
      </c>
      <c r="K39" s="4">
        <v>0</v>
      </c>
      <c r="L39" s="3">
        <v>0</v>
      </c>
      <c r="M39" s="2">
        <v>0</v>
      </c>
      <c r="N39" s="4">
        <v>0</v>
      </c>
      <c r="O39" s="117">
        <v>0</v>
      </c>
      <c r="P39" s="3">
        <v>0</v>
      </c>
      <c r="Q39" s="3">
        <v>0</v>
      </c>
      <c r="R39" s="167">
        <f t="shared" si="1"/>
        <v>0</v>
      </c>
      <c r="S39" s="167">
        <f t="shared" si="1"/>
        <v>0</v>
      </c>
      <c r="T39" s="168">
        <f t="shared" si="1"/>
        <v>0</v>
      </c>
      <c r="U39" s="168">
        <f t="shared" si="1"/>
        <v>0</v>
      </c>
    </row>
    <row r="40" spans="1:21" ht="15.75" x14ac:dyDescent="0.25">
      <c r="A40" s="70">
        <f t="shared" si="0"/>
        <v>135</v>
      </c>
      <c r="B40" s="71">
        <v>14</v>
      </c>
      <c r="C40" s="96" t="s">
        <v>11</v>
      </c>
      <c r="D40" s="10">
        <v>2</v>
      </c>
      <c r="E40" s="10">
        <v>2</v>
      </c>
      <c r="F40" s="4">
        <v>19</v>
      </c>
      <c r="G40" s="4">
        <v>0</v>
      </c>
      <c r="H40" s="2">
        <v>1</v>
      </c>
      <c r="I40" s="116">
        <v>0</v>
      </c>
      <c r="J40" s="4">
        <v>4</v>
      </c>
      <c r="K40" s="4">
        <v>0</v>
      </c>
      <c r="L40" s="3">
        <v>0</v>
      </c>
      <c r="M40" s="2">
        <v>0</v>
      </c>
      <c r="N40" s="4">
        <v>10</v>
      </c>
      <c r="O40" s="117">
        <v>0</v>
      </c>
      <c r="P40" s="3">
        <v>0</v>
      </c>
      <c r="Q40" s="3">
        <v>0</v>
      </c>
      <c r="R40" s="167">
        <f t="shared" si="1"/>
        <v>14</v>
      </c>
      <c r="S40" s="167">
        <f t="shared" si="1"/>
        <v>0</v>
      </c>
      <c r="T40" s="168">
        <f t="shared" si="1"/>
        <v>0</v>
      </c>
      <c r="U40" s="168">
        <f t="shared" si="1"/>
        <v>0</v>
      </c>
    </row>
    <row r="41" spans="1:21" ht="31.5" x14ac:dyDescent="0.25">
      <c r="A41" s="70">
        <f t="shared" si="0"/>
        <v>135</v>
      </c>
      <c r="B41" s="71">
        <v>15</v>
      </c>
      <c r="C41" s="96" t="s">
        <v>60</v>
      </c>
      <c r="D41" s="10">
        <v>1</v>
      </c>
      <c r="E41" s="10">
        <v>1</v>
      </c>
      <c r="F41" s="4">
        <v>4</v>
      </c>
      <c r="G41" s="4">
        <v>0</v>
      </c>
      <c r="H41" s="2">
        <v>0</v>
      </c>
      <c r="I41" s="116">
        <v>0</v>
      </c>
      <c r="J41" s="4">
        <v>1</v>
      </c>
      <c r="K41" s="4">
        <v>0</v>
      </c>
      <c r="L41" s="3">
        <v>0</v>
      </c>
      <c r="M41" s="2">
        <v>0</v>
      </c>
      <c r="N41" s="4">
        <v>1</v>
      </c>
      <c r="O41" s="117">
        <v>0</v>
      </c>
      <c r="P41" s="3">
        <v>0</v>
      </c>
      <c r="Q41" s="3">
        <v>0</v>
      </c>
      <c r="R41" s="167">
        <f t="shared" si="1"/>
        <v>2</v>
      </c>
      <c r="S41" s="167">
        <f t="shared" si="1"/>
        <v>0</v>
      </c>
      <c r="T41" s="168">
        <f t="shared" si="1"/>
        <v>0</v>
      </c>
      <c r="U41" s="168">
        <f t="shared" si="1"/>
        <v>0</v>
      </c>
    </row>
    <row r="42" spans="1:21" ht="15.75" x14ac:dyDescent="0.25">
      <c r="A42" s="70">
        <f t="shared" si="0"/>
        <v>135</v>
      </c>
      <c r="B42" s="71">
        <v>16</v>
      </c>
      <c r="C42" s="96" t="s">
        <v>12</v>
      </c>
      <c r="D42" s="10">
        <v>2</v>
      </c>
      <c r="E42" s="10">
        <v>2</v>
      </c>
      <c r="F42" s="4">
        <v>4</v>
      </c>
      <c r="G42" s="4">
        <v>0</v>
      </c>
      <c r="H42" s="2">
        <v>0</v>
      </c>
      <c r="I42" s="116">
        <v>0</v>
      </c>
      <c r="J42" s="4">
        <v>2</v>
      </c>
      <c r="K42" s="4">
        <v>0</v>
      </c>
      <c r="L42" s="3">
        <v>0</v>
      </c>
      <c r="M42" s="2">
        <v>0</v>
      </c>
      <c r="N42" s="4">
        <v>1</v>
      </c>
      <c r="O42" s="117">
        <v>0</v>
      </c>
      <c r="P42" s="3">
        <v>0</v>
      </c>
      <c r="Q42" s="3">
        <v>0</v>
      </c>
      <c r="R42" s="167">
        <f t="shared" si="1"/>
        <v>3</v>
      </c>
      <c r="S42" s="167">
        <f t="shared" si="1"/>
        <v>0</v>
      </c>
      <c r="T42" s="168">
        <f t="shared" si="1"/>
        <v>0</v>
      </c>
      <c r="U42" s="168">
        <f t="shared" si="1"/>
        <v>0</v>
      </c>
    </row>
    <row r="43" spans="1:21" ht="15.75" x14ac:dyDescent="0.25">
      <c r="A43" s="70">
        <f t="shared" si="0"/>
        <v>135</v>
      </c>
      <c r="B43" s="71">
        <v>17</v>
      </c>
      <c r="C43" s="96" t="s">
        <v>4</v>
      </c>
      <c r="D43" s="10">
        <v>2</v>
      </c>
      <c r="E43" s="10">
        <v>2</v>
      </c>
      <c r="F43" s="4">
        <v>11</v>
      </c>
      <c r="G43" s="4">
        <v>0</v>
      </c>
      <c r="H43" s="2">
        <v>0</v>
      </c>
      <c r="I43" s="116">
        <v>0</v>
      </c>
      <c r="J43" s="4">
        <v>2</v>
      </c>
      <c r="K43" s="4">
        <v>0</v>
      </c>
      <c r="L43" s="3">
        <v>0</v>
      </c>
      <c r="M43" s="2">
        <v>0</v>
      </c>
      <c r="N43" s="4">
        <v>3</v>
      </c>
      <c r="O43" s="117">
        <v>0</v>
      </c>
      <c r="P43" s="3">
        <v>0</v>
      </c>
      <c r="Q43" s="3">
        <v>0</v>
      </c>
      <c r="R43" s="167">
        <f t="shared" si="1"/>
        <v>5</v>
      </c>
      <c r="S43" s="167">
        <f t="shared" si="1"/>
        <v>0</v>
      </c>
      <c r="T43" s="168">
        <f t="shared" si="1"/>
        <v>0</v>
      </c>
      <c r="U43" s="168">
        <f t="shared" si="1"/>
        <v>0</v>
      </c>
    </row>
    <row r="44" spans="1:21" ht="15.75" x14ac:dyDescent="0.25">
      <c r="A44" s="70">
        <f t="shared" si="0"/>
        <v>135</v>
      </c>
      <c r="B44" s="71">
        <v>18</v>
      </c>
      <c r="C44" s="96" t="s">
        <v>16</v>
      </c>
      <c r="D44" s="10">
        <v>1</v>
      </c>
      <c r="E44" s="10">
        <v>1</v>
      </c>
      <c r="F44" s="4">
        <v>3</v>
      </c>
      <c r="G44" s="4">
        <v>0</v>
      </c>
      <c r="H44" s="2">
        <v>0</v>
      </c>
      <c r="I44" s="116">
        <v>0</v>
      </c>
      <c r="J44" s="4">
        <v>2</v>
      </c>
      <c r="K44" s="4">
        <v>0</v>
      </c>
      <c r="L44" s="3">
        <v>0</v>
      </c>
      <c r="M44" s="2">
        <v>0</v>
      </c>
      <c r="N44" s="4">
        <v>1</v>
      </c>
      <c r="O44" s="117">
        <v>0</v>
      </c>
      <c r="P44" s="3">
        <v>0</v>
      </c>
      <c r="Q44" s="3">
        <v>0</v>
      </c>
      <c r="R44" s="167">
        <f t="shared" si="1"/>
        <v>3</v>
      </c>
      <c r="S44" s="167">
        <f t="shared" si="1"/>
        <v>0</v>
      </c>
      <c r="T44" s="168">
        <f t="shared" si="1"/>
        <v>0</v>
      </c>
      <c r="U44" s="168">
        <f t="shared" si="1"/>
        <v>0</v>
      </c>
    </row>
    <row r="45" spans="1:21" ht="15.75" x14ac:dyDescent="0.25">
      <c r="A45" s="70">
        <f t="shared" si="0"/>
        <v>135</v>
      </c>
      <c r="B45" s="71">
        <v>19</v>
      </c>
      <c r="C45" s="96" t="s">
        <v>6</v>
      </c>
      <c r="D45" s="10">
        <v>2</v>
      </c>
      <c r="E45" s="10">
        <v>2</v>
      </c>
      <c r="F45" s="4">
        <v>6</v>
      </c>
      <c r="G45" s="4">
        <v>0</v>
      </c>
      <c r="H45" s="2">
        <v>0</v>
      </c>
      <c r="I45" s="116">
        <v>0</v>
      </c>
      <c r="J45" s="4">
        <v>0</v>
      </c>
      <c r="K45" s="4">
        <v>0</v>
      </c>
      <c r="L45" s="3">
        <v>0</v>
      </c>
      <c r="M45" s="2">
        <v>0</v>
      </c>
      <c r="N45" s="4">
        <v>0</v>
      </c>
      <c r="O45" s="117">
        <v>0</v>
      </c>
      <c r="P45" s="3">
        <v>0</v>
      </c>
      <c r="Q45" s="3">
        <v>0</v>
      </c>
      <c r="R45" s="167">
        <f t="shared" si="1"/>
        <v>0</v>
      </c>
      <c r="S45" s="167">
        <f t="shared" si="1"/>
        <v>0</v>
      </c>
      <c r="T45" s="168">
        <f t="shared" si="1"/>
        <v>0</v>
      </c>
      <c r="U45" s="168">
        <f t="shared" si="1"/>
        <v>0</v>
      </c>
    </row>
    <row r="46" spans="1:21" ht="15.75" x14ac:dyDescent="0.25">
      <c r="A46" s="70">
        <f t="shared" si="0"/>
        <v>135</v>
      </c>
      <c r="B46" s="71">
        <v>20</v>
      </c>
      <c r="C46" s="96" t="s">
        <v>15</v>
      </c>
      <c r="D46" s="10">
        <v>2</v>
      </c>
      <c r="E46" s="10">
        <v>2</v>
      </c>
      <c r="F46" s="4">
        <v>7</v>
      </c>
      <c r="G46" s="4">
        <v>0</v>
      </c>
      <c r="H46" s="2">
        <v>0</v>
      </c>
      <c r="I46" s="116">
        <v>0</v>
      </c>
      <c r="J46" s="4">
        <v>2</v>
      </c>
      <c r="K46" s="4">
        <v>0</v>
      </c>
      <c r="L46" s="3">
        <v>0</v>
      </c>
      <c r="M46" s="2">
        <v>0</v>
      </c>
      <c r="N46" s="4">
        <v>3</v>
      </c>
      <c r="O46" s="117">
        <v>0</v>
      </c>
      <c r="P46" s="3">
        <v>0</v>
      </c>
      <c r="Q46" s="3">
        <v>0</v>
      </c>
      <c r="R46" s="167">
        <f t="shared" si="1"/>
        <v>5</v>
      </c>
      <c r="S46" s="167">
        <f t="shared" si="1"/>
        <v>0</v>
      </c>
      <c r="T46" s="168">
        <f t="shared" si="1"/>
        <v>0</v>
      </c>
      <c r="U46" s="168">
        <f t="shared" si="1"/>
        <v>0</v>
      </c>
    </row>
    <row r="47" spans="1:21" ht="15.75" x14ac:dyDescent="0.25">
      <c r="A47" s="70">
        <f t="shared" si="0"/>
        <v>135</v>
      </c>
      <c r="B47" s="71">
        <v>21</v>
      </c>
      <c r="C47" s="96" t="s">
        <v>14</v>
      </c>
      <c r="D47" s="10">
        <v>0</v>
      </c>
      <c r="E47" s="10">
        <v>0</v>
      </c>
      <c r="F47" s="4">
        <v>0</v>
      </c>
      <c r="G47" s="4">
        <v>0</v>
      </c>
      <c r="H47" s="2">
        <v>0</v>
      </c>
      <c r="I47" s="116">
        <v>0</v>
      </c>
      <c r="J47" s="4">
        <v>0</v>
      </c>
      <c r="K47" s="4">
        <v>0</v>
      </c>
      <c r="L47" s="3">
        <v>0</v>
      </c>
      <c r="M47" s="2">
        <v>0</v>
      </c>
      <c r="N47" s="4">
        <v>0</v>
      </c>
      <c r="O47" s="117">
        <v>0</v>
      </c>
      <c r="P47" s="3">
        <v>0</v>
      </c>
      <c r="Q47" s="3">
        <v>0</v>
      </c>
      <c r="R47" s="167">
        <f t="shared" si="1"/>
        <v>0</v>
      </c>
      <c r="S47" s="167">
        <f t="shared" si="1"/>
        <v>0</v>
      </c>
      <c r="T47" s="168">
        <f t="shared" si="1"/>
        <v>0</v>
      </c>
      <c r="U47" s="168">
        <f t="shared" si="1"/>
        <v>0</v>
      </c>
    </row>
    <row r="48" spans="1:21" ht="15.75" x14ac:dyDescent="0.25">
      <c r="A48" s="70">
        <f t="shared" si="0"/>
        <v>135</v>
      </c>
      <c r="B48" s="71">
        <v>22</v>
      </c>
      <c r="C48" s="96" t="s">
        <v>7</v>
      </c>
      <c r="D48" s="10">
        <v>1</v>
      </c>
      <c r="E48" s="10">
        <v>1</v>
      </c>
      <c r="F48" s="4">
        <v>2</v>
      </c>
      <c r="G48" s="4">
        <v>0</v>
      </c>
      <c r="H48" s="2">
        <v>0</v>
      </c>
      <c r="I48" s="116">
        <v>0</v>
      </c>
      <c r="J48" s="4">
        <v>0</v>
      </c>
      <c r="K48" s="4">
        <v>0</v>
      </c>
      <c r="L48" s="3">
        <v>0</v>
      </c>
      <c r="M48" s="2">
        <v>0</v>
      </c>
      <c r="N48" s="4">
        <v>0</v>
      </c>
      <c r="O48" s="117">
        <v>0</v>
      </c>
      <c r="P48" s="3">
        <v>0</v>
      </c>
      <c r="Q48" s="3">
        <v>0</v>
      </c>
      <c r="R48" s="167">
        <f t="shared" si="1"/>
        <v>0</v>
      </c>
      <c r="S48" s="167">
        <f t="shared" si="1"/>
        <v>0</v>
      </c>
      <c r="T48" s="168">
        <f t="shared" si="1"/>
        <v>0</v>
      </c>
      <c r="U48" s="168">
        <f t="shared" si="1"/>
        <v>0</v>
      </c>
    </row>
    <row r="49" spans="1:21" ht="15.75" x14ac:dyDescent="0.25">
      <c r="A49" s="70">
        <f t="shared" si="0"/>
        <v>135</v>
      </c>
      <c r="B49" s="71">
        <v>23</v>
      </c>
      <c r="C49" s="96" t="s">
        <v>17</v>
      </c>
      <c r="D49" s="10">
        <v>1</v>
      </c>
      <c r="E49" s="10">
        <v>1</v>
      </c>
      <c r="F49" s="4">
        <v>4</v>
      </c>
      <c r="G49" s="4">
        <v>0</v>
      </c>
      <c r="H49" s="2">
        <v>0</v>
      </c>
      <c r="I49" s="116">
        <v>0</v>
      </c>
      <c r="J49" s="4">
        <v>1</v>
      </c>
      <c r="K49" s="4">
        <v>0</v>
      </c>
      <c r="L49" s="3">
        <v>0</v>
      </c>
      <c r="M49" s="2">
        <v>0</v>
      </c>
      <c r="N49" s="4">
        <v>0</v>
      </c>
      <c r="O49" s="117">
        <v>0</v>
      </c>
      <c r="P49" s="3">
        <v>0</v>
      </c>
      <c r="Q49" s="3">
        <v>0</v>
      </c>
      <c r="R49" s="167">
        <f t="shared" si="1"/>
        <v>1</v>
      </c>
      <c r="S49" s="167">
        <f t="shared" si="1"/>
        <v>0</v>
      </c>
      <c r="T49" s="168">
        <f t="shared" si="1"/>
        <v>0</v>
      </c>
      <c r="U49" s="168">
        <f t="shared" si="1"/>
        <v>0</v>
      </c>
    </row>
    <row r="50" spans="1:21" ht="15.75" x14ac:dyDescent="0.25">
      <c r="A50" s="70">
        <f t="shared" si="0"/>
        <v>135</v>
      </c>
      <c r="B50" s="71">
        <v>24</v>
      </c>
      <c r="C50" s="96" t="s">
        <v>18</v>
      </c>
      <c r="D50" s="10"/>
      <c r="E50" s="10"/>
      <c r="F50" s="4"/>
      <c r="G50" s="4"/>
      <c r="H50" s="2"/>
      <c r="I50" s="116"/>
      <c r="J50" s="4"/>
      <c r="K50" s="4"/>
      <c r="L50" s="3"/>
      <c r="M50" s="2"/>
      <c r="N50" s="4"/>
      <c r="O50" s="117"/>
      <c r="P50" s="3"/>
      <c r="Q50" s="3"/>
      <c r="R50" s="167">
        <f t="shared" si="1"/>
        <v>0</v>
      </c>
      <c r="S50" s="167">
        <f t="shared" si="1"/>
        <v>0</v>
      </c>
      <c r="T50" s="168">
        <f t="shared" si="1"/>
        <v>0</v>
      </c>
      <c r="U50" s="168">
        <f t="shared" si="1"/>
        <v>0</v>
      </c>
    </row>
    <row r="51" spans="1:21" s="50" customFormat="1" ht="19.5" x14ac:dyDescent="0.35">
      <c r="A51" s="70">
        <f t="shared" si="0"/>
        <v>135</v>
      </c>
      <c r="B51" s="73" t="s">
        <v>70</v>
      </c>
      <c r="C51" s="74" t="s">
        <v>121</v>
      </c>
      <c r="D51" s="75"/>
      <c r="E51" s="76">
        <f t="shared" ref="E51:U51" si="2">SUM(E27:E50)</f>
        <v>29</v>
      </c>
      <c r="F51" s="165">
        <f t="shared" si="2"/>
        <v>104</v>
      </c>
      <c r="G51" s="77">
        <f t="shared" si="2"/>
        <v>0</v>
      </c>
      <c r="H51" s="165">
        <f t="shared" si="2"/>
        <v>1</v>
      </c>
      <c r="I51" s="77">
        <f t="shared" si="2"/>
        <v>0</v>
      </c>
      <c r="J51" s="77">
        <f t="shared" si="2"/>
        <v>24</v>
      </c>
      <c r="K51" s="77">
        <f t="shared" si="2"/>
        <v>0</v>
      </c>
      <c r="L51" s="77">
        <f t="shared" si="2"/>
        <v>0</v>
      </c>
      <c r="M51" s="77">
        <f t="shared" si="2"/>
        <v>0</v>
      </c>
      <c r="N51" s="77">
        <f t="shared" si="2"/>
        <v>28</v>
      </c>
      <c r="O51" s="77">
        <f t="shared" si="2"/>
        <v>0</v>
      </c>
      <c r="P51" s="77">
        <f t="shared" si="2"/>
        <v>0</v>
      </c>
      <c r="Q51" s="77">
        <f t="shared" si="2"/>
        <v>0</v>
      </c>
      <c r="R51" s="76">
        <f t="shared" si="2"/>
        <v>52</v>
      </c>
      <c r="S51" s="76">
        <f t="shared" si="2"/>
        <v>0</v>
      </c>
      <c r="T51" s="76">
        <f t="shared" si="2"/>
        <v>0</v>
      </c>
      <c r="U51" s="76">
        <f t="shared" si="2"/>
        <v>0</v>
      </c>
    </row>
    <row r="52" spans="1:21" ht="40.5" customHeight="1" x14ac:dyDescent="0.25">
      <c r="F52" s="104" t="s">
        <v>117</v>
      </c>
      <c r="G52" s="104"/>
      <c r="H52" s="106">
        <f>F51+H51</f>
        <v>105</v>
      </c>
      <c r="T52" s="31">
        <f>R51+T51</f>
        <v>52</v>
      </c>
    </row>
    <row r="53" spans="1:21" ht="45.75" customHeight="1" x14ac:dyDescent="0.25">
      <c r="F53" s="106" t="str">
        <f>IF('1'!AG20=H52, "пройдена сверка лист 1 и 3", "требуется проверка!")</f>
        <v>пройдена сверка лист 1 и 3</v>
      </c>
    </row>
  </sheetData>
  <sheetProtection password="CA9D" sheet="1" objects="1" scenarios="1" formatCells="0" formatColumns="0" formatRows="0"/>
  <conditionalFormatting sqref="O12:P18">
    <cfRule type="containsText" dxfId="14" priority="7" operator="containsText" text="требуется">
      <formula>NOT(ISERROR(SEARCH("требуется",O12)))</formula>
    </cfRule>
  </conditionalFormatting>
  <conditionalFormatting sqref="K14">
    <cfRule type="containsText" dxfId="13" priority="2" operator="containsText" text="требуется">
      <formula>NOT(ISERROR(SEARCH("требуется",K14)))</formula>
    </cfRule>
  </conditionalFormatting>
  <conditionalFormatting sqref="K18">
    <cfRule type="containsText" dxfId="12" priority="1" operator="containsText" text="требуется">
      <formula>NOT(ISERROR(SEARCH("требуется",K18)))</formula>
    </cfRule>
  </conditionalFormatting>
  <conditionalFormatting sqref="F53">
    <cfRule type="containsText" dxfId="11" priority="4" operator="containsText" text="требуется">
      <formula>NOT(ISERROR(SEARCH("требуется",F53)))</formula>
    </cfRule>
  </conditionalFormatting>
  <conditionalFormatting sqref="H52">
    <cfRule type="containsText" dxfId="10" priority="3" operator="containsText" text="требуется">
      <formula>NOT(ISERROR(SEARCH("требуется",H52)))</formula>
    </cfRule>
  </conditionalFormatting>
  <dataValidations count="1">
    <dataValidation type="list" allowBlank="1" showInputMessage="1" showErrorMessage="1" sqref="J1">
      <formula1>etap</formula1>
    </dataValidation>
  </dataValidations>
  <pageMargins left="0.31496062992125984" right="0.11811023622047245" top="0.15748031496062992" bottom="0.15748031496062992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topLeftCell="H1" workbookViewId="0">
      <selection activeCell="P11" sqref="P11"/>
    </sheetView>
  </sheetViews>
  <sheetFormatPr defaultRowHeight="15" x14ac:dyDescent="0.25"/>
  <cols>
    <col min="1" max="1" width="10.5703125" style="1" customWidth="1"/>
    <col min="2" max="3" width="21" style="1" customWidth="1"/>
    <col min="4" max="4" width="16.85546875" style="1" customWidth="1"/>
    <col min="5" max="5" width="17.85546875" style="1" customWidth="1"/>
    <col min="6" max="6" width="18.140625" style="1" customWidth="1"/>
    <col min="7" max="8" width="17.42578125" style="1" customWidth="1"/>
    <col min="9" max="12" width="20.7109375" style="1" customWidth="1"/>
    <col min="13" max="13" width="23.7109375" style="1" bestFit="1" customWidth="1"/>
    <col min="14" max="14" width="16.7109375" style="1" customWidth="1"/>
    <col min="15" max="15" width="18.7109375" style="1" customWidth="1"/>
    <col min="16" max="16" width="17" style="1" customWidth="1"/>
    <col min="17" max="16384" width="9.140625" style="1"/>
  </cols>
  <sheetData>
    <row r="1" spans="1:18" s="5" customFormat="1" ht="31.5" customHeight="1" x14ac:dyDescent="0.3">
      <c r="A1" s="27" t="s">
        <v>71</v>
      </c>
      <c r="B1" s="226">
        <f>'1'!$B$1</f>
        <v>135</v>
      </c>
      <c r="C1" s="139"/>
      <c r="D1" s="138" t="str">
        <f>VLOOKUP(B1,mouo,2,0)</f>
        <v>Сонковский район</v>
      </c>
      <c r="E1" s="28"/>
      <c r="F1" s="28"/>
      <c r="G1" s="29"/>
      <c r="H1" s="29"/>
      <c r="I1" s="227" t="str">
        <f>'1'!$I$1</f>
        <v>школьный этап</v>
      </c>
      <c r="J1" s="137"/>
      <c r="K1" s="137"/>
      <c r="L1" s="137"/>
      <c r="M1" s="137"/>
      <c r="O1" s="128"/>
      <c r="P1" s="128"/>
    </row>
    <row r="2" spans="1:18" s="5" customFormat="1" ht="15.75" x14ac:dyDescent="0.25">
      <c r="A2" s="27"/>
      <c r="B2" s="49" t="s">
        <v>73</v>
      </c>
      <c r="C2" s="140"/>
      <c r="D2" s="46"/>
      <c r="E2" s="46"/>
      <c r="F2" s="46"/>
      <c r="G2" s="46"/>
      <c r="H2" s="46"/>
      <c r="I2" s="49" t="s">
        <v>73</v>
      </c>
      <c r="K2" s="136"/>
      <c r="L2" s="136"/>
      <c r="M2" s="8"/>
      <c r="O2" s="128"/>
      <c r="P2" s="128"/>
    </row>
    <row r="3" spans="1:18" s="8" customFormat="1" ht="15.75" x14ac:dyDescent="0.25">
      <c r="A3" s="78"/>
      <c r="B3" s="79"/>
      <c r="C3" s="79"/>
      <c r="D3" s="48"/>
      <c r="E3" s="48"/>
      <c r="F3" s="48"/>
      <c r="G3" s="48"/>
      <c r="H3" s="48"/>
      <c r="I3" s="80"/>
      <c r="J3" s="80"/>
      <c r="K3" s="80"/>
      <c r="L3" s="80"/>
      <c r="M3" s="19"/>
    </row>
    <row r="4" spans="1:18" s="7" customFormat="1" ht="27" customHeight="1" x14ac:dyDescent="0.3">
      <c r="A4" s="147" t="s">
        <v>180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233"/>
      <c r="N4" s="234"/>
      <c r="O4" s="234"/>
      <c r="P4" s="234"/>
      <c r="Q4" s="12"/>
      <c r="R4" s="12"/>
    </row>
    <row r="5" spans="1:18" s="7" customFormat="1" ht="27" customHeigh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233"/>
      <c r="N5" s="234"/>
      <c r="O5" s="234"/>
      <c r="P5" s="234"/>
      <c r="Q5" s="12"/>
      <c r="R5" s="12"/>
    </row>
    <row r="6" spans="1:18" ht="45" x14ac:dyDescent="0.25">
      <c r="A6" s="31"/>
      <c r="B6" s="31"/>
      <c r="C6" s="31"/>
      <c r="D6" s="31"/>
      <c r="E6" s="180" t="s">
        <v>215</v>
      </c>
      <c r="F6" s="182"/>
      <c r="G6" s="152"/>
      <c r="H6" s="153"/>
      <c r="I6" s="181" t="s">
        <v>214</v>
      </c>
      <c r="J6" s="150"/>
      <c r="K6" s="150"/>
      <c r="L6" s="151"/>
      <c r="M6" s="180" t="s">
        <v>213</v>
      </c>
      <c r="N6" s="152"/>
      <c r="O6" s="152"/>
      <c r="P6" s="153"/>
    </row>
    <row r="7" spans="1:18" s="6" customFormat="1" ht="92.25" customHeight="1" x14ac:dyDescent="0.3">
      <c r="A7" s="45" t="s">
        <v>74</v>
      </c>
      <c r="B7" s="81" t="s">
        <v>153</v>
      </c>
      <c r="C7" s="81" t="s">
        <v>209</v>
      </c>
      <c r="D7" s="82" t="s">
        <v>181</v>
      </c>
      <c r="E7" s="154" t="s">
        <v>235</v>
      </c>
      <c r="F7" s="154" t="s">
        <v>184</v>
      </c>
      <c r="G7" s="154" t="s">
        <v>182</v>
      </c>
      <c r="H7" s="154" t="s">
        <v>183</v>
      </c>
      <c r="I7" s="148" t="s">
        <v>188</v>
      </c>
      <c r="J7" s="148" t="s">
        <v>184</v>
      </c>
      <c r="K7" s="148" t="s">
        <v>182</v>
      </c>
      <c r="L7" s="148" t="s">
        <v>183</v>
      </c>
      <c r="M7" s="154" t="s">
        <v>188</v>
      </c>
      <c r="N7" s="154" t="s">
        <v>184</v>
      </c>
      <c r="O7" s="154" t="s">
        <v>182</v>
      </c>
      <c r="P7" s="154" t="s">
        <v>183</v>
      </c>
    </row>
    <row r="8" spans="1:18" x14ac:dyDescent="0.25">
      <c r="A8" s="83" t="s">
        <v>73</v>
      </c>
      <c r="B8" s="109" t="s">
        <v>208</v>
      </c>
      <c r="C8" s="109" t="s">
        <v>208</v>
      </c>
      <c r="D8" s="84" t="s">
        <v>73</v>
      </c>
      <c r="E8" s="84" t="s">
        <v>73</v>
      </c>
      <c r="F8" s="84" t="s">
        <v>73</v>
      </c>
      <c r="G8" s="109">
        <v>2</v>
      </c>
      <c r="H8" s="109">
        <v>3</v>
      </c>
      <c r="I8" s="84" t="s">
        <v>73</v>
      </c>
      <c r="J8" s="84" t="s">
        <v>185</v>
      </c>
      <c r="K8" s="84" t="s">
        <v>186</v>
      </c>
      <c r="L8" s="84" t="s">
        <v>187</v>
      </c>
      <c r="M8" s="84" t="s">
        <v>189</v>
      </c>
      <c r="N8" s="84" t="s">
        <v>242</v>
      </c>
      <c r="O8" s="84">
        <v>22</v>
      </c>
      <c r="P8" s="84">
        <v>33</v>
      </c>
    </row>
    <row r="9" spans="1:18" ht="15.75" x14ac:dyDescent="0.25">
      <c r="A9" s="54">
        <f>$B$1</f>
        <v>135</v>
      </c>
      <c r="B9" s="245">
        <v>7</v>
      </c>
      <c r="C9" s="245">
        <v>7</v>
      </c>
      <c r="D9" s="108">
        <f>SUM('1'!C9:D15)</f>
        <v>458</v>
      </c>
      <c r="E9" s="108">
        <f>SUM('1'!E9:E15)</f>
        <v>225</v>
      </c>
      <c r="F9" s="108">
        <f>SUM('1'!F9:F15)</f>
        <v>0</v>
      </c>
      <c r="G9" s="242">
        <v>198</v>
      </c>
      <c r="H9" s="242">
        <v>27</v>
      </c>
      <c r="I9" s="108">
        <f>K9+L9</f>
        <v>269</v>
      </c>
      <c r="J9" s="108">
        <f>'3_5-9е'!S51+'3_5-9е'!U51+'3_10-11е'!S51+'3_10-11е'!U51</f>
        <v>0</v>
      </c>
      <c r="K9" s="108">
        <f>'3_5-9е'!R51+'3_10-11е'!R51</f>
        <v>216</v>
      </c>
      <c r="L9" s="108">
        <f>'3_5-9е'!T51+'3_10-11е'!T51</f>
        <v>53</v>
      </c>
      <c r="M9" s="108">
        <f>O9+P9</f>
        <v>110</v>
      </c>
      <c r="N9" s="242">
        <v>0</v>
      </c>
      <c r="O9" s="242">
        <v>82</v>
      </c>
      <c r="P9" s="242">
        <v>28</v>
      </c>
    </row>
    <row r="10" spans="1:18" ht="54" customHeight="1" x14ac:dyDescent="0.25">
      <c r="A10" s="31"/>
      <c r="B10" s="31"/>
      <c r="C10" s="31"/>
      <c r="D10" s="31"/>
      <c r="E10" s="104" t="s">
        <v>210</v>
      </c>
      <c r="F10" s="31"/>
      <c r="G10" s="31"/>
      <c r="H10" s="31">
        <f>G9+H9</f>
        <v>225</v>
      </c>
      <c r="I10" s="104" t="s">
        <v>210</v>
      </c>
      <c r="J10" s="31"/>
      <c r="K10" s="31"/>
      <c r="L10" s="31"/>
      <c r="M10" s="31"/>
      <c r="N10" s="31"/>
      <c r="O10" s="31"/>
      <c r="P10" s="31"/>
    </row>
    <row r="11" spans="1:18" ht="47.25" customHeight="1" x14ac:dyDescent="0.25">
      <c r="A11" s="31"/>
      <c r="B11" s="149"/>
      <c r="C11" s="149"/>
      <c r="D11" s="149"/>
      <c r="E11" s="189" t="str">
        <f>IF(H10=SUM('1'!E9:E15),"пройдена проверка 1 и 4 лист", "требуется проверка 1 и 4 лист ")</f>
        <v>пройдена проверка 1 и 4 лист</v>
      </c>
      <c r="F11" s="31"/>
      <c r="G11" s="31"/>
      <c r="H11" s="31"/>
      <c r="I11" s="189" t="str">
        <f>IF(I9='3_5-9е'!T52+'3_10-11е'!T52,"пройдена проверка 1 и 4 лист", "требуется проверка 1 и 4 лист ")</f>
        <v>пройдена проверка 1 и 4 лист</v>
      </c>
      <c r="J11" s="31"/>
      <c r="K11" s="31"/>
      <c r="L11" s="31"/>
      <c r="M11" s="31"/>
      <c r="N11" s="31"/>
      <c r="O11" s="31"/>
      <c r="P11" s="31"/>
    </row>
    <row r="12" spans="1:18" x14ac:dyDescent="0.25">
      <c r="A12" s="31"/>
      <c r="B12" s="31"/>
      <c r="C12" s="31"/>
      <c r="D12" s="31"/>
      <c r="F12" s="31"/>
      <c r="G12" s="31"/>
      <c r="H12" s="100"/>
      <c r="I12" s="100"/>
      <c r="J12" s="100"/>
      <c r="K12" s="31"/>
      <c r="L12" s="31"/>
    </row>
  </sheetData>
  <sheetProtection algorithmName="SHA-512" hashValue="6+JSti4i6Tr6mjN7XbrXN4lCuMk8qRMO3Z+WPMQ1c25wj7cUufoy/Da91Yd3zaLpXJ93EkwiZwQ/tJrwmUfH4A==" saltValue="VeNSzGU8KpjyObFf8EZMJg==" spinCount="100000" sheet="1" objects="1" scenarios="1" formatCells="0" formatColumns="0" formatRows="0"/>
  <conditionalFormatting sqref="E11">
    <cfRule type="containsText" dxfId="9" priority="3" operator="containsText" text="требуется">
      <formula>NOT(ISERROR(SEARCH("требуется",E11)))</formula>
    </cfRule>
  </conditionalFormatting>
  <conditionalFormatting sqref="I11">
    <cfRule type="containsText" dxfId="8" priority="2" operator="containsText" text="требуется">
      <formula>NOT(ISERROR(SEARCH("требуется",I11)))</formula>
    </cfRule>
  </conditionalFormatting>
  <dataValidations count="1">
    <dataValidation type="list" allowBlank="1" showInputMessage="1" showErrorMessage="1" sqref="I1">
      <formula1>etap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opLeftCell="F1" zoomScaleNormal="100" workbookViewId="0">
      <selection activeCell="L14" sqref="L14"/>
    </sheetView>
  </sheetViews>
  <sheetFormatPr defaultRowHeight="12.75" x14ac:dyDescent="0.2"/>
  <cols>
    <col min="1" max="1" width="16.85546875" style="85" customWidth="1"/>
    <col min="2" max="4" width="20.140625" style="85" customWidth="1"/>
    <col min="5" max="5" width="19.7109375" style="85" customWidth="1"/>
    <col min="6" max="6" width="18.140625" style="85" customWidth="1"/>
    <col min="7" max="7" width="18.28515625" style="85" bestFit="1" customWidth="1"/>
    <col min="8" max="9" width="15.42578125" style="85" customWidth="1"/>
    <col min="10" max="10" width="21.5703125" style="85" customWidth="1"/>
    <col min="11" max="12" width="15.5703125" style="85" customWidth="1"/>
    <col min="13" max="13" width="11.85546875" style="85" customWidth="1"/>
    <col min="14" max="14" width="12.42578125" style="85" customWidth="1"/>
    <col min="15" max="15" width="12.140625" style="85" customWidth="1"/>
    <col min="16" max="16" width="11.42578125" style="85" customWidth="1"/>
    <col min="17" max="17" width="16.28515625" style="85" customWidth="1"/>
    <col min="18" max="18" width="15.140625" style="85" customWidth="1"/>
    <col min="19" max="16384" width="9.140625" style="85"/>
  </cols>
  <sheetData>
    <row r="1" spans="1:18" s="46" customFormat="1" ht="31.5" customHeight="1" x14ac:dyDescent="0.3">
      <c r="A1" s="27" t="s">
        <v>71</v>
      </c>
      <c r="B1" s="226">
        <f>'1'!$B$1</f>
        <v>135</v>
      </c>
      <c r="C1" s="139"/>
      <c r="D1" s="138" t="str">
        <f>VLOOKUP(B1,mouo,2,0)</f>
        <v>Сонковский район</v>
      </c>
      <c r="E1" s="28"/>
      <c r="F1" s="28"/>
      <c r="G1" s="28"/>
      <c r="H1" s="29"/>
      <c r="I1" s="29"/>
      <c r="J1" s="227" t="str">
        <f>'1'!$I$1</f>
        <v>школьный этап</v>
      </c>
      <c r="K1" s="137"/>
      <c r="L1" s="137"/>
      <c r="M1" s="137"/>
      <c r="N1" s="137"/>
      <c r="P1" s="243"/>
      <c r="Q1" s="243"/>
    </row>
    <row r="2" spans="1:18" s="46" customFormat="1" ht="15.75" x14ac:dyDescent="0.25">
      <c r="A2" s="27"/>
      <c r="B2" s="49" t="s">
        <v>73</v>
      </c>
      <c r="C2" s="140"/>
      <c r="J2" s="49" t="s">
        <v>73</v>
      </c>
      <c r="L2" s="136"/>
      <c r="M2" s="136"/>
      <c r="N2" s="48"/>
      <c r="P2" s="243"/>
      <c r="Q2" s="243"/>
    </row>
    <row r="3" spans="1:18" s="87" customFormat="1" x14ac:dyDescent="0.2"/>
    <row r="4" spans="1:18" s="90" customFormat="1" ht="25.5" customHeight="1" x14ac:dyDescent="0.2">
      <c r="A4" s="88" t="s">
        <v>190</v>
      </c>
      <c r="B4" s="88"/>
      <c r="C4" s="88"/>
      <c r="D4" s="88"/>
      <c r="E4" s="88"/>
      <c r="F4" s="88"/>
      <c r="G4" s="88"/>
      <c r="H4" s="89"/>
      <c r="I4" s="89"/>
      <c r="J4" s="88"/>
      <c r="K4" s="88"/>
      <c r="L4" s="88"/>
      <c r="M4" s="88"/>
      <c r="N4" s="88"/>
      <c r="O4" s="88"/>
      <c r="P4" s="88"/>
      <c r="Q4" s="88"/>
    </row>
    <row r="5" spans="1:18" s="87" customFormat="1" x14ac:dyDescent="0.2"/>
    <row r="6" spans="1:18" s="87" customFormat="1" x14ac:dyDescent="0.2"/>
    <row r="7" spans="1:18" s="87" customFormat="1" ht="66" customHeight="1" x14ac:dyDescent="0.2">
      <c r="A7" s="257" t="s">
        <v>74</v>
      </c>
      <c r="B7" s="263" t="s">
        <v>132</v>
      </c>
      <c r="C7" s="263" t="s">
        <v>153</v>
      </c>
      <c r="D7" s="263" t="s">
        <v>154</v>
      </c>
      <c r="E7" s="241" t="s">
        <v>133</v>
      </c>
      <c r="F7" s="241" t="s">
        <v>134</v>
      </c>
      <c r="G7" s="272" t="s">
        <v>135</v>
      </c>
      <c r="H7" s="273"/>
      <c r="I7" s="273"/>
      <c r="J7" s="273"/>
      <c r="K7" s="273"/>
      <c r="L7" s="274"/>
      <c r="M7" s="260" t="s">
        <v>136</v>
      </c>
      <c r="N7" s="261"/>
      <c r="O7" s="262"/>
      <c r="P7" s="260" t="s">
        <v>137</v>
      </c>
      <c r="Q7" s="261"/>
      <c r="R7" s="262"/>
    </row>
    <row r="8" spans="1:18" s="87" customFormat="1" ht="51.75" customHeight="1" x14ac:dyDescent="0.2">
      <c r="A8" s="258"/>
      <c r="B8" s="264"/>
      <c r="C8" s="264"/>
      <c r="D8" s="264"/>
      <c r="E8" s="263" t="s">
        <v>138</v>
      </c>
      <c r="F8" s="263" t="s">
        <v>138</v>
      </c>
      <c r="G8" s="269" t="s">
        <v>139</v>
      </c>
      <c r="H8" s="270"/>
      <c r="I8" s="271"/>
      <c r="J8" s="269" t="s">
        <v>140</v>
      </c>
      <c r="K8" s="270"/>
      <c r="L8" s="271"/>
      <c r="M8" s="255" t="s">
        <v>163</v>
      </c>
      <c r="N8" s="267" t="s">
        <v>141</v>
      </c>
      <c r="O8" s="268"/>
      <c r="P8" s="255" t="s">
        <v>163</v>
      </c>
      <c r="Q8" s="267" t="s">
        <v>142</v>
      </c>
      <c r="R8" s="268"/>
    </row>
    <row r="9" spans="1:18" s="87" customFormat="1" ht="76.5" x14ac:dyDescent="0.2">
      <c r="A9" s="258"/>
      <c r="B9" s="264"/>
      <c r="C9" s="264"/>
      <c r="D9" s="264"/>
      <c r="E9" s="264"/>
      <c r="F9" s="264"/>
      <c r="G9" s="99" t="s">
        <v>143</v>
      </c>
      <c r="H9" s="99" t="s">
        <v>144</v>
      </c>
      <c r="I9" s="99" t="s">
        <v>150</v>
      </c>
      <c r="J9" s="99" t="s">
        <v>145</v>
      </c>
      <c r="K9" s="99" t="s">
        <v>144</v>
      </c>
      <c r="L9" s="99" t="s">
        <v>150</v>
      </c>
      <c r="M9" s="266"/>
      <c r="N9" s="255" t="s">
        <v>146</v>
      </c>
      <c r="O9" s="255" t="s">
        <v>62</v>
      </c>
      <c r="P9" s="266"/>
      <c r="Q9" s="255" t="s">
        <v>146</v>
      </c>
      <c r="R9" s="255" t="s">
        <v>62</v>
      </c>
    </row>
    <row r="10" spans="1:18" s="87" customFormat="1" ht="19.5" customHeight="1" x14ac:dyDescent="0.2">
      <c r="A10" s="259"/>
      <c r="B10" s="265"/>
      <c r="C10" s="265"/>
      <c r="D10" s="265"/>
      <c r="E10" s="265"/>
      <c r="F10" s="265"/>
      <c r="G10" s="91" t="s">
        <v>147</v>
      </c>
      <c r="H10" s="91" t="s">
        <v>147</v>
      </c>
      <c r="I10" s="91" t="s">
        <v>147</v>
      </c>
      <c r="J10" s="91" t="s">
        <v>147</v>
      </c>
      <c r="K10" s="91" t="s">
        <v>147</v>
      </c>
      <c r="L10" s="91" t="s">
        <v>147</v>
      </c>
      <c r="M10" s="256"/>
      <c r="N10" s="256"/>
      <c r="O10" s="256"/>
      <c r="P10" s="256"/>
      <c r="Q10" s="256"/>
      <c r="R10" s="256"/>
    </row>
    <row r="11" spans="1:18" s="244" customFormat="1" ht="12.75" customHeight="1" x14ac:dyDescent="0.2">
      <c r="A11" s="55">
        <v>1</v>
      </c>
      <c r="B11" s="92">
        <v>2</v>
      </c>
      <c r="C11" s="92" t="s">
        <v>211</v>
      </c>
      <c r="D11" s="92" t="s">
        <v>212</v>
      </c>
      <c r="E11" s="92">
        <v>5</v>
      </c>
      <c r="F11" s="92">
        <v>6</v>
      </c>
      <c r="G11" s="92">
        <v>7</v>
      </c>
      <c r="H11" s="92">
        <v>8</v>
      </c>
      <c r="I11" s="92">
        <v>9</v>
      </c>
      <c r="J11" s="92">
        <v>10</v>
      </c>
      <c r="K11" s="92">
        <v>11</v>
      </c>
      <c r="L11" s="92">
        <v>12</v>
      </c>
      <c r="M11" s="92">
        <v>13</v>
      </c>
      <c r="N11" s="92">
        <v>14</v>
      </c>
      <c r="O11" s="92">
        <v>15</v>
      </c>
      <c r="P11" s="92">
        <v>16</v>
      </c>
      <c r="Q11" s="92">
        <v>17</v>
      </c>
      <c r="R11" s="92">
        <v>18</v>
      </c>
    </row>
    <row r="12" spans="1:18" ht="42.75" customHeight="1" x14ac:dyDescent="0.2">
      <c r="A12" s="155">
        <f t="shared" ref="A12" si="0">$B$1</f>
        <v>135</v>
      </c>
      <c r="B12" s="107" t="str">
        <f t="shared" ref="B12" si="1">VLOOKUP(A12,mouo,2,0)</f>
        <v>Сонковский район</v>
      </c>
      <c r="C12" s="246">
        <f>'4'!B9</f>
        <v>7</v>
      </c>
      <c r="D12" s="246">
        <f>'4'!C9</f>
        <v>7</v>
      </c>
      <c r="E12" s="2">
        <v>7</v>
      </c>
      <c r="F12" s="2">
        <v>7</v>
      </c>
      <c r="G12" s="2">
        <v>0</v>
      </c>
      <c r="H12" s="2">
        <v>7</v>
      </c>
      <c r="I12" s="2">
        <v>0</v>
      </c>
      <c r="J12" s="2">
        <v>0</v>
      </c>
      <c r="K12" s="2">
        <v>7</v>
      </c>
      <c r="L12" s="2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2">
        <v>0</v>
      </c>
    </row>
  </sheetData>
  <sheetProtection algorithmName="SHA-512" hashValue="sq7sFw4wAACwJW3Pmq+bk1fV6sdoUW6A4IyRhs/SxquOr3o26Bjq+TtDC3oi5HM9DBEc+0Nhp6/dmQLF4N0StA==" saltValue="pOdHZOFWf8Nn0e2N3/C9yg==" spinCount="100000" sheet="1" formatCells="0" formatColumns="0" formatRows="0" insertRows="0"/>
  <mergeCells count="19">
    <mergeCell ref="Q9:Q10"/>
    <mergeCell ref="C7:C10"/>
    <mergeCell ref="D7:D10"/>
    <mergeCell ref="R9:R10"/>
    <mergeCell ref="A7:A10"/>
    <mergeCell ref="M7:O7"/>
    <mergeCell ref="P7:R7"/>
    <mergeCell ref="E8:E10"/>
    <mergeCell ref="F8:F10"/>
    <mergeCell ref="B7:B10"/>
    <mergeCell ref="M8:M10"/>
    <mergeCell ref="N8:O8"/>
    <mergeCell ref="P8:P10"/>
    <mergeCell ref="Q8:R8"/>
    <mergeCell ref="G8:I8"/>
    <mergeCell ref="J8:L8"/>
    <mergeCell ref="G7:L7"/>
    <mergeCell ref="N9:N10"/>
    <mergeCell ref="O9:O10"/>
  </mergeCells>
  <dataValidations count="1">
    <dataValidation type="list" allowBlank="1" showInputMessage="1" showErrorMessage="1" sqref="J1">
      <formula1>etap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3" workbookViewId="0">
      <selection activeCell="F34" sqref="F34"/>
    </sheetView>
  </sheetViews>
  <sheetFormatPr defaultColWidth="9.140625" defaultRowHeight="15.75" x14ac:dyDescent="0.25"/>
  <cols>
    <col min="1" max="1" width="16.28515625" style="183" bestFit="1" customWidth="1"/>
    <col min="2" max="2" width="20.85546875" style="183" customWidth="1"/>
    <col min="3" max="3" width="18.28515625" style="183" customWidth="1"/>
    <col min="4" max="4" width="11.85546875" style="183" customWidth="1"/>
    <col min="5" max="5" width="11.42578125" style="183" customWidth="1"/>
    <col min="6" max="6" width="12" style="183" customWidth="1"/>
    <col min="7" max="7" width="22.140625" style="183" customWidth="1"/>
    <col min="8" max="8" width="11.85546875" style="183" customWidth="1"/>
    <col min="9" max="9" width="14.28515625" style="183" customWidth="1"/>
    <col min="10" max="16384" width="9.140625" style="183"/>
  </cols>
  <sheetData>
    <row r="1" spans="1:9" x14ac:dyDescent="0.25">
      <c r="A1" s="60"/>
      <c r="B1" s="275" t="s">
        <v>246</v>
      </c>
      <c r="C1" s="275"/>
      <c r="D1" s="275"/>
      <c r="E1" s="275"/>
      <c r="F1" s="275"/>
      <c r="G1" s="275"/>
      <c r="H1" s="275"/>
      <c r="I1" s="275"/>
    </row>
    <row r="2" spans="1:9" ht="75.75" customHeight="1" x14ac:dyDescent="0.25">
      <c r="A2" s="60"/>
      <c r="B2" s="276" t="s">
        <v>227</v>
      </c>
      <c r="C2" s="276"/>
      <c r="D2" s="276"/>
      <c r="E2" s="276"/>
      <c r="F2" s="276"/>
      <c r="G2" s="276"/>
      <c r="H2" s="276"/>
      <c r="I2" s="276"/>
    </row>
    <row r="3" spans="1:9" x14ac:dyDescent="0.25">
      <c r="A3" s="277" t="s">
        <v>243</v>
      </c>
      <c r="B3" s="277" t="s">
        <v>1</v>
      </c>
      <c r="C3" s="277"/>
      <c r="D3" s="277"/>
      <c r="E3" s="277"/>
      <c r="F3" s="277"/>
      <c r="G3" s="277"/>
      <c r="H3" s="277"/>
      <c r="I3" s="277"/>
    </row>
    <row r="4" spans="1:9" ht="31.5" x14ac:dyDescent="0.25">
      <c r="A4" s="277"/>
      <c r="B4" s="277"/>
      <c r="C4" s="235" t="s">
        <v>216</v>
      </c>
      <c r="D4" s="235" t="s">
        <v>217</v>
      </c>
      <c r="E4" s="235" t="s">
        <v>218</v>
      </c>
      <c r="F4" s="235" t="s">
        <v>219</v>
      </c>
      <c r="G4" s="235" t="s">
        <v>220</v>
      </c>
      <c r="H4" s="235" t="s">
        <v>221</v>
      </c>
      <c r="I4" s="235" t="s">
        <v>222</v>
      </c>
    </row>
    <row r="5" spans="1:9" x14ac:dyDescent="0.25">
      <c r="A5" s="236">
        <f>'1'!$B$1</f>
        <v>135</v>
      </c>
      <c r="B5" s="236" t="s">
        <v>13</v>
      </c>
      <c r="C5" s="184">
        <v>0</v>
      </c>
      <c r="D5" s="184">
        <v>0</v>
      </c>
      <c r="E5" s="184">
        <v>0</v>
      </c>
      <c r="F5" s="184">
        <v>0</v>
      </c>
      <c r="G5" s="184">
        <v>0</v>
      </c>
      <c r="H5" s="184">
        <v>0</v>
      </c>
      <c r="I5" s="184">
        <v>0</v>
      </c>
    </row>
    <row r="6" spans="1:9" x14ac:dyDescent="0.25">
      <c r="A6" s="236">
        <f>'1'!$B$1</f>
        <v>135</v>
      </c>
      <c r="B6" s="236" t="s">
        <v>19</v>
      </c>
      <c r="C6" s="184">
        <v>0</v>
      </c>
      <c r="D6" s="184">
        <v>0</v>
      </c>
      <c r="E6" s="184">
        <v>0</v>
      </c>
      <c r="F6" s="184">
        <v>0</v>
      </c>
      <c r="G6" s="184">
        <v>0</v>
      </c>
      <c r="H6" s="184">
        <v>0</v>
      </c>
      <c r="I6" s="184">
        <v>0</v>
      </c>
    </row>
    <row r="7" spans="1:9" x14ac:dyDescent="0.25">
      <c r="A7" s="236">
        <f>'1'!$B$1</f>
        <v>135</v>
      </c>
      <c r="B7" s="236" t="s">
        <v>8</v>
      </c>
      <c r="C7" s="184">
        <v>0</v>
      </c>
      <c r="D7" s="184">
        <v>0</v>
      </c>
      <c r="E7" s="184">
        <v>0</v>
      </c>
      <c r="F7" s="184">
        <v>0</v>
      </c>
      <c r="G7" s="184">
        <v>0</v>
      </c>
      <c r="H7" s="184">
        <v>0</v>
      </c>
      <c r="I7" s="184">
        <v>0</v>
      </c>
    </row>
    <row r="8" spans="1:9" x14ac:dyDescent="0.25">
      <c r="A8" s="236">
        <f>'1'!$B$1</f>
        <v>135</v>
      </c>
      <c r="B8" s="236" t="s">
        <v>9</v>
      </c>
      <c r="C8" s="184">
        <v>0</v>
      </c>
      <c r="D8" s="184">
        <v>0</v>
      </c>
      <c r="E8" s="184">
        <v>0</v>
      </c>
      <c r="F8" s="184">
        <v>0</v>
      </c>
      <c r="G8" s="184">
        <v>0</v>
      </c>
      <c r="H8" s="184">
        <v>0</v>
      </c>
      <c r="I8" s="184">
        <v>0</v>
      </c>
    </row>
    <row r="9" spans="1:9" x14ac:dyDescent="0.25">
      <c r="A9" s="236">
        <f>'1'!$B$1</f>
        <v>135</v>
      </c>
      <c r="B9" s="236" t="s">
        <v>223</v>
      </c>
      <c r="C9" s="184">
        <v>0</v>
      </c>
      <c r="D9" s="184">
        <v>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</row>
    <row r="10" spans="1:9" ht="47.25" x14ac:dyDescent="0.25">
      <c r="A10" s="236">
        <f>'1'!$B$1</f>
        <v>135</v>
      </c>
      <c r="B10" s="236" t="s">
        <v>224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</row>
    <row r="11" spans="1:9" x14ac:dyDescent="0.25">
      <c r="A11" s="236">
        <f>'1'!$B$1</f>
        <v>135</v>
      </c>
      <c r="B11" s="236" t="s">
        <v>10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</row>
    <row r="12" spans="1:9" x14ac:dyDescent="0.25">
      <c r="A12" s="236">
        <f>'1'!$B$1</f>
        <v>135</v>
      </c>
      <c r="B12" s="236" t="s">
        <v>55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</row>
    <row r="13" spans="1:9" x14ac:dyDescent="0.25">
      <c r="A13" s="236">
        <f>'1'!$B$1</f>
        <v>135</v>
      </c>
      <c r="B13" s="236" t="s">
        <v>155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</row>
    <row r="14" spans="1:9" x14ac:dyDescent="0.25">
      <c r="A14" s="236">
        <f>'1'!$B$1</f>
        <v>135</v>
      </c>
      <c r="B14" s="236" t="s">
        <v>156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4">
        <v>0</v>
      </c>
    </row>
    <row r="15" spans="1:9" x14ac:dyDescent="0.25">
      <c r="A15" s="236">
        <f>'1'!$B$1</f>
        <v>135</v>
      </c>
      <c r="B15" s="236" t="s">
        <v>5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</row>
    <row r="16" spans="1:9" x14ac:dyDescent="0.25">
      <c r="A16" s="236">
        <f>'1'!$B$1</f>
        <v>135</v>
      </c>
      <c r="B16" s="236" t="s">
        <v>20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</row>
    <row r="17" spans="1:9" x14ac:dyDescent="0.25">
      <c r="A17" s="236">
        <f>'1'!$B$1</f>
        <v>135</v>
      </c>
      <c r="B17" s="236" t="s">
        <v>21</v>
      </c>
      <c r="C17" s="184">
        <v>0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</row>
    <row r="18" spans="1:9" x14ac:dyDescent="0.25">
      <c r="A18" s="236">
        <f>'1'!$B$1</f>
        <v>135</v>
      </c>
      <c r="B18" s="236" t="s">
        <v>11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</row>
    <row r="19" spans="1:9" ht="47.25" x14ac:dyDescent="0.25">
      <c r="A19" s="236">
        <f>'1'!$B$1</f>
        <v>135</v>
      </c>
      <c r="B19" s="236" t="s">
        <v>225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</row>
    <row r="20" spans="1:9" x14ac:dyDescent="0.25">
      <c r="A20" s="236">
        <f>'1'!$B$1</f>
        <v>135</v>
      </c>
      <c r="B20" s="236" t="s">
        <v>12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</row>
    <row r="21" spans="1:9" x14ac:dyDescent="0.25">
      <c r="A21" s="236">
        <f>'1'!$B$1</f>
        <v>135</v>
      </c>
      <c r="B21" s="236" t="s">
        <v>4</v>
      </c>
      <c r="C21" s="184">
        <v>0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  <c r="I21" s="184">
        <v>0</v>
      </c>
    </row>
    <row r="22" spans="1:9" x14ac:dyDescent="0.25">
      <c r="A22" s="236">
        <f>'1'!$B$1</f>
        <v>135</v>
      </c>
      <c r="B22" s="236" t="s">
        <v>16</v>
      </c>
      <c r="C22" s="184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</row>
    <row r="23" spans="1:9" x14ac:dyDescent="0.25">
      <c r="A23" s="236">
        <f>'1'!$B$1</f>
        <v>135</v>
      </c>
      <c r="B23" s="236" t="s">
        <v>6</v>
      </c>
      <c r="C23" s="184">
        <v>0</v>
      </c>
      <c r="D23" s="184">
        <v>0</v>
      </c>
      <c r="E23" s="184">
        <v>0</v>
      </c>
      <c r="F23" s="184">
        <v>0</v>
      </c>
      <c r="G23" s="184">
        <v>0</v>
      </c>
      <c r="H23" s="184">
        <v>0</v>
      </c>
      <c r="I23" s="184">
        <v>0</v>
      </c>
    </row>
    <row r="24" spans="1:9" ht="31.5" x14ac:dyDescent="0.25">
      <c r="A24" s="236">
        <f>'1'!$B$1</f>
        <v>135</v>
      </c>
      <c r="B24" s="236" t="s">
        <v>15</v>
      </c>
      <c r="C24" s="184">
        <v>0</v>
      </c>
      <c r="D24" s="184">
        <v>0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</row>
    <row r="25" spans="1:9" x14ac:dyDescent="0.25">
      <c r="A25" s="236">
        <f>'1'!$B$1</f>
        <v>135</v>
      </c>
      <c r="B25" s="236" t="s">
        <v>14</v>
      </c>
      <c r="C25" s="184">
        <v>0</v>
      </c>
      <c r="D25" s="184">
        <v>0</v>
      </c>
      <c r="E25" s="184">
        <v>0</v>
      </c>
      <c r="F25" s="184">
        <v>0</v>
      </c>
      <c r="G25" s="184">
        <v>0</v>
      </c>
      <c r="H25" s="184">
        <v>0</v>
      </c>
      <c r="I25" s="184">
        <v>0</v>
      </c>
    </row>
    <row r="26" spans="1:9" x14ac:dyDescent="0.25">
      <c r="A26" s="236">
        <f>'1'!$B$1</f>
        <v>135</v>
      </c>
      <c r="B26" s="236" t="s">
        <v>7</v>
      </c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</row>
    <row r="27" spans="1:9" x14ac:dyDescent="0.25">
      <c r="A27" s="236">
        <f>'1'!$B$1</f>
        <v>135</v>
      </c>
      <c r="B27" s="236" t="s">
        <v>17</v>
      </c>
      <c r="C27" s="184">
        <v>0</v>
      </c>
      <c r="D27" s="184">
        <v>0</v>
      </c>
      <c r="E27" s="184">
        <v>0</v>
      </c>
      <c r="F27" s="184">
        <v>0</v>
      </c>
      <c r="G27" s="184">
        <v>0</v>
      </c>
      <c r="H27" s="184">
        <v>0</v>
      </c>
      <c r="I27" s="184">
        <v>0</v>
      </c>
    </row>
    <row r="28" spans="1:9" x14ac:dyDescent="0.25">
      <c r="A28" s="236">
        <f>'1'!$B$1</f>
        <v>135</v>
      </c>
      <c r="B28" s="236" t="s">
        <v>18</v>
      </c>
      <c r="C28" s="184">
        <v>0</v>
      </c>
      <c r="D28" s="184">
        <v>0</v>
      </c>
      <c r="E28" s="184">
        <v>0</v>
      </c>
      <c r="F28" s="184">
        <v>0</v>
      </c>
      <c r="G28" s="184">
        <v>0</v>
      </c>
      <c r="H28" s="184">
        <v>0</v>
      </c>
      <c r="I28" s="184">
        <v>0</v>
      </c>
    </row>
    <row r="29" spans="1:9" x14ac:dyDescent="0.25">
      <c r="A29" s="236">
        <f>'1'!$B$1</f>
        <v>135</v>
      </c>
      <c r="B29" s="237" t="s">
        <v>226</v>
      </c>
      <c r="C29" s="238">
        <f>SUM(C5:C28)</f>
        <v>0</v>
      </c>
      <c r="D29" s="238">
        <f>SUM(D5:D28)</f>
        <v>0</v>
      </c>
      <c r="E29" s="238">
        <f t="shared" ref="E29:I29" si="0">SUM(E5:E28)</f>
        <v>0</v>
      </c>
      <c r="F29" s="238">
        <f t="shared" si="0"/>
        <v>0</v>
      </c>
      <c r="G29" s="238">
        <f t="shared" si="0"/>
        <v>0</v>
      </c>
      <c r="H29" s="238">
        <f t="shared" si="0"/>
        <v>0</v>
      </c>
      <c r="I29" s="238">
        <f t="shared" si="0"/>
        <v>0</v>
      </c>
    </row>
    <row r="30" spans="1:9" ht="30" customHeight="1" x14ac:dyDescent="0.25">
      <c r="A30" s="249" t="s">
        <v>245</v>
      </c>
      <c r="B30" s="239" t="s">
        <v>234</v>
      </c>
      <c r="C30" s="240" t="str">
        <f>IF(C29='2_4е'!G21,"Верно", "проверить 2 лист")</f>
        <v>Верно</v>
      </c>
      <c r="D30" s="60"/>
      <c r="E30" s="60"/>
      <c r="F30" s="60"/>
      <c r="G30" s="249" t="s">
        <v>244</v>
      </c>
      <c r="H30" s="240" t="str">
        <f>IF(H31='3_5-9е'!G21, "Верно", "проверить лист 3")</f>
        <v>Верно</v>
      </c>
      <c r="I30" s="240" t="str">
        <f>IF(I29='3_10-11е'!G22, "Верно", "проверить лист 3")</f>
        <v>Верно</v>
      </c>
    </row>
    <row r="31" spans="1:9" x14ac:dyDescent="0.25">
      <c r="H31" s="183">
        <f>SUM(D29:H29)</f>
        <v>0</v>
      </c>
    </row>
  </sheetData>
  <sheetProtection password="CA9D" sheet="1" objects="1" scenarios="1" formatCells="0" formatColumns="0" formatRows="0"/>
  <mergeCells count="5">
    <mergeCell ref="B1:I1"/>
    <mergeCell ref="B2:I2"/>
    <mergeCell ref="B3:B4"/>
    <mergeCell ref="C3:I3"/>
    <mergeCell ref="A3:A4"/>
  </mergeCells>
  <conditionalFormatting sqref="C30">
    <cfRule type="containsText" dxfId="7" priority="7" operator="containsText" text="проверить">
      <formula>NOT(ISERROR(SEARCH("проверить",C30)))</formula>
    </cfRule>
    <cfRule type="containsText" dxfId="6" priority="8" operator="containsText" text="верно">
      <formula>NOT(ISERROR(SEARCH("верно",C30)))</formula>
    </cfRule>
  </conditionalFormatting>
  <conditionalFormatting sqref="H30">
    <cfRule type="containsText" dxfId="5" priority="3" operator="containsText" text="проверить">
      <formula>NOT(ISERROR(SEARCH("проверить",H30)))</formula>
    </cfRule>
    <cfRule type="containsText" dxfId="4" priority="4" operator="containsText" text="верно">
      <formula>NOT(ISERROR(SEARCH("верно",H30)))</formula>
    </cfRule>
  </conditionalFormatting>
  <conditionalFormatting sqref="I30">
    <cfRule type="containsText" dxfId="3" priority="1" operator="containsText" text="проверить">
      <formula>NOT(ISERROR(SEARCH("проверить",I30)))</formula>
    </cfRule>
    <cfRule type="containsText" dxfId="2" priority="2" operator="containsText" text="верно">
      <formula>NOT(ISERROR(SEARCH("верно",I30)))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equal" id="{2DB0094F-FEFC-47CE-8188-354046B0A211}">
            <xm:f>'2_4е'!$G$21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4" operator="equal" id="{0AC5547B-1499-43D3-BE14-93FE044DC793}">
            <xm:f>'2_4е'!$G$21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0_Читать_Инструкцию</vt:lpstr>
      <vt:lpstr>Справочник_МСУ</vt:lpstr>
      <vt:lpstr>1</vt:lpstr>
      <vt:lpstr>2_4е</vt:lpstr>
      <vt:lpstr>3_5-9е</vt:lpstr>
      <vt:lpstr>3_10-11е</vt:lpstr>
      <vt:lpstr>4</vt:lpstr>
      <vt:lpstr>5</vt:lpstr>
      <vt:lpstr>6 Прилож к 3</vt:lpstr>
      <vt:lpstr>danet</vt:lpstr>
      <vt:lpstr>da_net</vt:lpstr>
      <vt:lpstr>danet</vt:lpstr>
      <vt:lpstr>etap</vt:lpstr>
      <vt:lpstr>mouo</vt:lpstr>
      <vt:lpstr>'5'!Заголовки_для_печати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2022-11-11T11:18:42Z</dcterms:modified>
</cp:coreProperties>
</file>