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19200" windowHeight="11595" tabRatio="725" firstSheet="2" activeTab="11"/>
  </bookViews>
  <sheets>
    <sheet name="Титульный лист" sheetId="4" r:id="rId1"/>
    <sheet name="1 день" sheetId="5" r:id="rId2"/>
    <sheet name="2 день" sheetId="6" r:id="rId3"/>
    <sheet name="3 день" sheetId="7" r:id="rId4"/>
    <sheet name="4 день" sheetId="8" r:id="rId5"/>
    <sheet name="5 день" sheetId="9" r:id="rId6"/>
    <sheet name="6 день" sheetId="10" r:id="rId7"/>
    <sheet name="7 день" sheetId="11" r:id="rId8"/>
    <sheet name="8 день" sheetId="12" r:id="rId9"/>
    <sheet name="9 день" sheetId="13" r:id="rId10"/>
    <sheet name="10 день" sheetId="14" r:id="rId11"/>
    <sheet name="свод 10 дней" sheetId="15" r:id="rId12"/>
  </sheets>
  <definedNames>
    <definedName name="_xlnm.Print_Area" localSheetId="1">'1 день'!$A$1:$O$68</definedName>
    <definedName name="_xlnm.Print_Area" localSheetId="10">'10 день'!$A$1:$O$66</definedName>
    <definedName name="_xlnm.Print_Area" localSheetId="2">'2 день'!$A$1:$O$67</definedName>
    <definedName name="_xlnm.Print_Area" localSheetId="3">'3 день'!$A$1:$O$66</definedName>
    <definedName name="_xlnm.Print_Area" localSheetId="4">'4 день'!$A$1:$O$68</definedName>
    <definedName name="_xlnm.Print_Area" localSheetId="5">'5 день'!$A$1:$O$67</definedName>
    <definedName name="_xlnm.Print_Area" localSheetId="6">'6 день'!$A$1:$O$66</definedName>
    <definedName name="_xlnm.Print_Area" localSheetId="7">'7 день'!$A$1:$O$68</definedName>
    <definedName name="_xlnm.Print_Area" localSheetId="8">'8 день'!$A$1:$O$68</definedName>
    <definedName name="_xlnm.Print_Area" localSheetId="9">'9 день'!$A$1:$O$67</definedName>
    <definedName name="_xlnm.Print_Area" localSheetId="11">'свод 10 дней'!$A$1:$H$37</definedName>
    <definedName name="_xlnm.Print_Area" localSheetId="0">'Титульный лист'!$A$1:$O$20</definedName>
  </definedNames>
  <calcPr calcId="162913"/>
</workbook>
</file>

<file path=xl/calcChain.xml><?xml version="1.0" encoding="utf-8"?>
<calcChain xmlns="http://schemas.openxmlformats.org/spreadsheetml/2006/main">
  <c r="H37" i="15"/>
  <c r="G37"/>
  <c r="F37"/>
  <c r="E37"/>
  <c r="G61" i="10"/>
  <c r="G62" i="13"/>
  <c r="F27" i="15"/>
  <c r="F14"/>
  <c r="F13" l="1"/>
  <c r="G13"/>
  <c r="G63" i="11"/>
  <c r="G49"/>
  <c r="O21"/>
  <c r="N21"/>
  <c r="M21"/>
  <c r="L21"/>
  <c r="K21"/>
  <c r="I21"/>
  <c r="H21"/>
  <c r="G21"/>
  <c r="F21"/>
  <c r="D21"/>
  <c r="G62" i="6"/>
  <c r="G63" i="8"/>
  <c r="O19" i="7"/>
  <c r="N19"/>
  <c r="M19"/>
  <c r="L19"/>
  <c r="K19"/>
  <c r="I19"/>
  <c r="H19"/>
  <c r="G19"/>
  <c r="F19"/>
  <c r="D19"/>
  <c r="G61"/>
  <c r="G47"/>
  <c r="D27" i="14" l="1"/>
  <c r="E27"/>
  <c r="F27"/>
  <c r="G27"/>
  <c r="D28" i="13"/>
  <c r="E28"/>
  <c r="F28"/>
  <c r="G28"/>
  <c r="E29" i="12"/>
  <c r="F29"/>
  <c r="G29"/>
  <c r="D29"/>
  <c r="D29" i="11"/>
  <c r="E29"/>
  <c r="F29"/>
  <c r="G29"/>
  <c r="E27" i="10"/>
  <c r="F27"/>
  <c r="G27"/>
  <c r="D27"/>
  <c r="E28" i="9"/>
  <c r="F28"/>
  <c r="G28"/>
  <c r="D28"/>
  <c r="D29" i="8"/>
  <c r="E27" i="7"/>
  <c r="F27"/>
  <c r="G27"/>
  <c r="D27"/>
  <c r="E28" i="6"/>
  <c r="F28"/>
  <c r="G28"/>
  <c r="D28"/>
  <c r="F14"/>
  <c r="G14"/>
  <c r="E29" i="5"/>
  <c r="F29"/>
  <c r="G29"/>
  <c r="D29"/>
  <c r="F32" i="15"/>
  <c r="F31"/>
  <c r="F30"/>
  <c r="F29"/>
  <c r="F28"/>
  <c r="G26"/>
  <c r="F26"/>
  <c r="F25"/>
  <c r="F24"/>
  <c r="F23"/>
  <c r="G22"/>
  <c r="F22"/>
  <c r="G21"/>
  <c r="F21"/>
  <c r="G20"/>
  <c r="F20"/>
  <c r="G19"/>
  <c r="F19"/>
  <c r="G17"/>
  <c r="F17"/>
  <c r="G16"/>
  <c r="F16"/>
  <c r="G15"/>
  <c r="F15"/>
  <c r="G12"/>
  <c r="F12"/>
  <c r="G11"/>
  <c r="F11"/>
  <c r="G10"/>
  <c r="F10"/>
  <c r="F9"/>
  <c r="F8"/>
  <c r="H42" i="10"/>
  <c r="G42"/>
  <c r="F7" i="15"/>
  <c r="G6"/>
  <c r="F6"/>
  <c r="O21" i="8"/>
  <c r="N21"/>
  <c r="M21"/>
  <c r="L21"/>
  <c r="K21"/>
  <c r="I21"/>
  <c r="H21"/>
  <c r="G21"/>
  <c r="F21"/>
  <c r="D21"/>
  <c r="G60" i="7"/>
  <c r="G59"/>
  <c r="H58"/>
  <c r="G58"/>
  <c r="G53"/>
  <c r="H50"/>
  <c r="G50"/>
  <c r="H46"/>
  <c r="G46"/>
  <c r="H45"/>
  <c r="G45"/>
  <c r="G41"/>
  <c r="G40"/>
  <c r="O8"/>
  <c r="N8"/>
  <c r="M8"/>
  <c r="L8"/>
  <c r="K8"/>
  <c r="J8"/>
  <c r="I8"/>
  <c r="H8"/>
  <c r="G8"/>
  <c r="F8"/>
  <c r="E8"/>
  <c r="D8"/>
  <c r="H45" i="14"/>
  <c r="G45"/>
  <c r="H50"/>
  <c r="G50"/>
  <c r="H51" i="12"/>
  <c r="G51"/>
  <c r="H51" i="11"/>
  <c r="G51"/>
  <c r="H50" i="9"/>
  <c r="G50"/>
  <c r="H51" i="8"/>
  <c r="G51"/>
  <c r="G62" i="5"/>
  <c r="G55"/>
  <c r="G60"/>
  <c r="G63"/>
  <c r="G43"/>
  <c r="G61" i="14"/>
  <c r="G58"/>
  <c r="H53"/>
  <c r="G53"/>
  <c r="H44"/>
  <c r="G44"/>
  <c r="G60" i="13"/>
  <c r="G54"/>
  <c r="G47"/>
  <c r="H46"/>
  <c r="G46"/>
  <c r="G43"/>
  <c r="G41"/>
  <c r="O21"/>
  <c r="N21"/>
  <c r="M21"/>
  <c r="L21"/>
  <c r="K21"/>
  <c r="I21"/>
  <c r="H21"/>
  <c r="G21"/>
  <c r="F21"/>
  <c r="D21"/>
  <c r="G63" i="12"/>
  <c r="H47"/>
  <c r="G47"/>
  <c r="G44"/>
  <c r="G43"/>
  <c r="G42"/>
  <c r="G62" i="11"/>
  <c r="G60"/>
  <c r="H55"/>
  <c r="G55"/>
  <c r="H48"/>
  <c r="G48"/>
  <c r="H47"/>
  <c r="G47"/>
  <c r="G43"/>
  <c r="G59" i="10"/>
  <c r="G58"/>
  <c r="G46"/>
  <c r="H45"/>
  <c r="G45"/>
  <c r="G44"/>
  <c r="G41"/>
  <c r="G40"/>
  <c r="G62" i="9"/>
  <c r="H59"/>
  <c r="G59"/>
  <c r="G54"/>
  <c r="H46"/>
  <c r="G46"/>
  <c r="H45"/>
  <c r="G45"/>
  <c r="G43"/>
  <c r="H42"/>
  <c r="G42"/>
  <c r="G41"/>
  <c r="G61" i="8"/>
  <c r="G60"/>
  <c r="H55"/>
  <c r="G55"/>
  <c r="G48"/>
  <c r="H47"/>
  <c r="G47"/>
  <c r="G44"/>
  <c r="G43"/>
  <c r="G42"/>
  <c r="O16" i="7"/>
  <c r="N16"/>
  <c r="M16"/>
  <c r="L16"/>
  <c r="K16"/>
  <c r="I16"/>
  <c r="H16"/>
  <c r="G16"/>
  <c r="F16"/>
  <c r="E16"/>
  <c r="D16"/>
  <c r="O18" i="8"/>
  <c r="N18"/>
  <c r="M18"/>
  <c r="L18"/>
  <c r="K18"/>
  <c r="I18"/>
  <c r="H18"/>
  <c r="G18"/>
  <c r="F18"/>
  <c r="E18"/>
  <c r="D18"/>
  <c r="G67" i="6"/>
  <c r="H61"/>
  <c r="G61"/>
  <c r="G60"/>
  <c r="G59"/>
  <c r="H56"/>
  <c r="G56"/>
  <c r="H54"/>
  <c r="G54"/>
  <c r="G47"/>
  <c r="H46"/>
  <c r="G46"/>
  <c r="H45"/>
  <c r="G45"/>
  <c r="H42"/>
  <c r="G42"/>
  <c r="O13"/>
  <c r="N13"/>
  <c r="M13"/>
  <c r="L13"/>
  <c r="K13"/>
  <c r="J13"/>
  <c r="I13"/>
  <c r="H13"/>
  <c r="G13"/>
  <c r="F13"/>
  <c r="E13"/>
  <c r="E14" s="1"/>
  <c r="D13"/>
  <c r="H55" i="5"/>
  <c r="H51"/>
  <c r="G51"/>
  <c r="H48"/>
  <c r="G48"/>
  <c r="H47"/>
  <c r="G47"/>
  <c r="G44"/>
  <c r="E13" i="7" l="1"/>
  <c r="F13"/>
  <c r="D14" i="6"/>
  <c r="O20" i="12"/>
  <c r="N20"/>
  <c r="M20"/>
  <c r="L20"/>
  <c r="K20"/>
  <c r="I20"/>
  <c r="H20"/>
  <c r="G20"/>
  <c r="F20"/>
  <c r="E20"/>
  <c r="D20"/>
  <c r="O19" i="14"/>
  <c r="N19"/>
  <c r="M19"/>
  <c r="L19"/>
  <c r="K19"/>
  <c r="I19"/>
  <c r="H19"/>
  <c r="G19"/>
  <c r="F19"/>
  <c r="E19"/>
  <c r="D19"/>
  <c r="O19" i="10"/>
  <c r="N19"/>
  <c r="M19"/>
  <c r="L19"/>
  <c r="K19"/>
  <c r="J19"/>
  <c r="I19"/>
  <c r="H19"/>
  <c r="G19"/>
  <c r="F19"/>
  <c r="E19"/>
  <c r="D19"/>
  <c r="O13" i="12"/>
  <c r="N13"/>
  <c r="M13"/>
  <c r="L13"/>
  <c r="K13"/>
  <c r="J13"/>
  <c r="I13"/>
  <c r="H13"/>
  <c r="G13"/>
  <c r="F13"/>
  <c r="E13"/>
  <c r="D13"/>
  <c r="O20" i="9"/>
  <c r="N20"/>
  <c r="M20"/>
  <c r="L20"/>
  <c r="K20"/>
  <c r="J20"/>
  <c r="I20"/>
  <c r="H20"/>
  <c r="G20"/>
  <c r="F20"/>
  <c r="E20"/>
  <c r="D20"/>
  <c r="D12" i="7"/>
  <c r="E12"/>
  <c r="F12"/>
  <c r="G12"/>
  <c r="G13" s="1"/>
  <c r="H12"/>
  <c r="I12"/>
  <c r="J12"/>
  <c r="L12"/>
  <c r="M12"/>
  <c r="N12"/>
  <c r="O12"/>
  <c r="D14" i="12" l="1"/>
  <c r="D13" i="7"/>
  <c r="E14" i="12"/>
  <c r="F14"/>
  <c r="G14"/>
  <c r="H42" i="5"/>
  <c r="G42"/>
  <c r="G41"/>
  <c r="G29" i="8" l="1"/>
  <c r="O20" i="6" l="1"/>
  <c r="N20"/>
  <c r="M20"/>
  <c r="L20"/>
  <c r="K20"/>
  <c r="I20"/>
  <c r="H20"/>
  <c r="G20"/>
  <c r="F20"/>
  <c r="D20"/>
  <c r="O18" i="5" l="1"/>
  <c r="N18"/>
  <c r="M18"/>
  <c r="L18"/>
  <c r="K18"/>
  <c r="I18"/>
  <c r="H18"/>
  <c r="G18"/>
  <c r="F18"/>
  <c r="E18"/>
  <c r="D18"/>
  <c r="O16" i="10"/>
  <c r="N16"/>
  <c r="M16"/>
  <c r="L16"/>
  <c r="K16"/>
  <c r="I16"/>
  <c r="H16"/>
  <c r="G16"/>
  <c r="F16"/>
  <c r="E16"/>
  <c r="D16"/>
  <c r="G16" i="14"/>
  <c r="G17" i="13" l="1"/>
  <c r="G17" i="12"/>
  <c r="O18" i="11"/>
  <c r="N18"/>
  <c r="M18"/>
  <c r="L18"/>
  <c r="K18"/>
  <c r="I18"/>
  <c r="H18"/>
  <c r="G18"/>
  <c r="F18"/>
  <c r="E18"/>
  <c r="D18"/>
  <c r="D17" i="9"/>
  <c r="E17"/>
  <c r="L17"/>
  <c r="G17" i="6"/>
  <c r="E29" i="8" l="1"/>
  <c r="F29"/>
  <c r="O16" i="14" l="1"/>
  <c r="N16"/>
  <c r="M16"/>
  <c r="L16"/>
  <c r="K16"/>
  <c r="I16"/>
  <c r="H16"/>
  <c r="F16"/>
  <c r="F22" s="1"/>
  <c r="E16"/>
  <c r="E22" s="1"/>
  <c r="D16"/>
  <c r="O18" i="13"/>
  <c r="N18"/>
  <c r="M18"/>
  <c r="L18"/>
  <c r="K18"/>
  <c r="J18"/>
  <c r="I18"/>
  <c r="H18"/>
  <c r="G18"/>
  <c r="G23" s="1"/>
  <c r="F18"/>
  <c r="E18"/>
  <c r="L17"/>
  <c r="E17"/>
  <c r="D17"/>
  <c r="O17"/>
  <c r="N17"/>
  <c r="M17"/>
  <c r="K17"/>
  <c r="I17"/>
  <c r="H17"/>
  <c r="F17"/>
  <c r="O19" i="11"/>
  <c r="N19"/>
  <c r="M19"/>
  <c r="L19"/>
  <c r="K19"/>
  <c r="H19"/>
  <c r="G19"/>
  <c r="G24" s="1"/>
  <c r="F19"/>
  <c r="F24" s="1"/>
  <c r="E19"/>
  <c r="E24" s="1"/>
  <c r="D19"/>
  <c r="D24" s="1"/>
  <c r="O17" i="10"/>
  <c r="N17"/>
  <c r="M17"/>
  <c r="L17"/>
  <c r="K17"/>
  <c r="J17"/>
  <c r="I17"/>
  <c r="H17"/>
  <c r="G17"/>
  <c r="F17"/>
  <c r="E17"/>
  <c r="D17"/>
  <c r="D22" s="1"/>
  <c r="O18" i="14"/>
  <c r="N18"/>
  <c r="M18"/>
  <c r="L18"/>
  <c r="K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8" i="10"/>
  <c r="N18"/>
  <c r="M18"/>
  <c r="L18"/>
  <c r="K18"/>
  <c r="H18"/>
  <c r="G18"/>
  <c r="F18"/>
  <c r="E18"/>
  <c r="D18"/>
  <c r="O12"/>
  <c r="N12"/>
  <c r="M12"/>
  <c r="L12"/>
  <c r="J12"/>
  <c r="I12"/>
  <c r="H12"/>
  <c r="G12"/>
  <c r="F12"/>
  <c r="E12"/>
  <c r="D12"/>
  <c r="O8"/>
  <c r="N8"/>
  <c r="M8"/>
  <c r="L8"/>
  <c r="K8"/>
  <c r="J8"/>
  <c r="I8"/>
  <c r="H8"/>
  <c r="G8"/>
  <c r="F8"/>
  <c r="E8"/>
  <c r="D8"/>
  <c r="O19" i="9"/>
  <c r="N19"/>
  <c r="M19"/>
  <c r="L19"/>
  <c r="K19"/>
  <c r="I19"/>
  <c r="H19"/>
  <c r="G19"/>
  <c r="G23" s="1"/>
  <c r="F19"/>
  <c r="E19"/>
  <c r="D19"/>
  <c r="F16" i="12"/>
  <c r="E16"/>
  <c r="D16"/>
  <c r="F16" i="9"/>
  <c r="F23" s="1"/>
  <c r="E16"/>
  <c r="E23" s="1"/>
  <c r="D16"/>
  <c r="N13"/>
  <c r="M13"/>
  <c r="L13"/>
  <c r="K13"/>
  <c r="I13"/>
  <c r="H13"/>
  <c r="G13"/>
  <c r="F13"/>
  <c r="E13"/>
  <c r="D13"/>
  <c r="G29" l="1"/>
  <c r="J34" s="1"/>
  <c r="G14"/>
  <c r="D28" i="10"/>
  <c r="D13"/>
  <c r="D29" i="9"/>
  <c r="D14"/>
  <c r="E13" i="10"/>
  <c r="E28"/>
  <c r="E22"/>
  <c r="E14" i="9"/>
  <c r="E29"/>
  <c r="H34" s="1"/>
  <c r="F28" i="10"/>
  <c r="H33" s="1"/>
  <c r="F13"/>
  <c r="F22"/>
  <c r="F23" i="13"/>
  <c r="E23"/>
  <c r="F29" i="9"/>
  <c r="F14"/>
  <c r="D23"/>
  <c r="G13" i="10"/>
  <c r="D22" i="14"/>
  <c r="F33" i="10"/>
  <c r="G33"/>
  <c r="G34" i="9"/>
  <c r="I34"/>
  <c r="O18" i="12"/>
  <c r="N18"/>
  <c r="M18"/>
  <c r="L18"/>
  <c r="K18"/>
  <c r="H18"/>
  <c r="G18"/>
  <c r="F18"/>
  <c r="E18"/>
  <c r="D18"/>
  <c r="O19" i="8"/>
  <c r="N19"/>
  <c r="M19"/>
  <c r="L19"/>
  <c r="K19"/>
  <c r="H19"/>
  <c r="G19"/>
  <c r="G24" s="1"/>
  <c r="F19"/>
  <c r="F24" s="1"/>
  <c r="E19"/>
  <c r="E24" s="1"/>
  <c r="D19"/>
  <c r="D16" i="13"/>
  <c r="D23" s="1"/>
  <c r="D17" i="8"/>
  <c r="D24" s="1"/>
  <c r="G23" i="12" l="1"/>
  <c r="G30"/>
  <c r="O13" i="8"/>
  <c r="N13"/>
  <c r="M13"/>
  <c r="L13"/>
  <c r="J13"/>
  <c r="I13"/>
  <c r="H13"/>
  <c r="G13"/>
  <c r="F13"/>
  <c r="E13"/>
  <c r="D13"/>
  <c r="O17" i="7"/>
  <c r="N17"/>
  <c r="M17"/>
  <c r="L17"/>
  <c r="K17"/>
  <c r="J17"/>
  <c r="I17"/>
  <c r="H17"/>
  <c r="G17"/>
  <c r="F17"/>
  <c r="E17"/>
  <c r="D17"/>
  <c r="O13" i="13"/>
  <c r="N13"/>
  <c r="M13"/>
  <c r="L13"/>
  <c r="J13"/>
  <c r="I13"/>
  <c r="H13"/>
  <c r="G13"/>
  <c r="F13"/>
  <c r="E13"/>
  <c r="D13"/>
  <c r="O19" i="6"/>
  <c r="N19"/>
  <c r="M19"/>
  <c r="L19"/>
  <c r="K19"/>
  <c r="I19"/>
  <c r="H19"/>
  <c r="G19"/>
  <c r="F19"/>
  <c r="E19"/>
  <c r="D19"/>
  <c r="H15" i="14"/>
  <c r="G15"/>
  <c r="G22" s="1"/>
  <c r="H15" i="10"/>
  <c r="G15"/>
  <c r="H16" i="6"/>
  <c r="G16"/>
  <c r="O17" i="12"/>
  <c r="N17"/>
  <c r="M17"/>
  <c r="L17"/>
  <c r="K17"/>
  <c r="I17"/>
  <c r="H17"/>
  <c r="F17"/>
  <c r="E17"/>
  <c r="D17"/>
  <c r="L17" i="6"/>
  <c r="E17"/>
  <c r="D17"/>
  <c r="O17"/>
  <c r="N17"/>
  <c r="M17"/>
  <c r="K17"/>
  <c r="I17"/>
  <c r="H17"/>
  <c r="F17"/>
  <c r="O21" i="5"/>
  <c r="N21"/>
  <c r="M21"/>
  <c r="L21"/>
  <c r="K21"/>
  <c r="I21"/>
  <c r="H21"/>
  <c r="G21"/>
  <c r="F21"/>
  <c r="E21"/>
  <c r="D21"/>
  <c r="O19"/>
  <c r="N19"/>
  <c r="M19"/>
  <c r="L19"/>
  <c r="K19"/>
  <c r="H19"/>
  <c r="G19"/>
  <c r="F19"/>
  <c r="F24" s="1"/>
  <c r="E19"/>
  <c r="E24" s="1"/>
  <c r="D19"/>
  <c r="O12" i="14"/>
  <c r="N12"/>
  <c r="M12"/>
  <c r="L12"/>
  <c r="J12"/>
  <c r="I12"/>
  <c r="H12"/>
  <c r="G12"/>
  <c r="F12"/>
  <c r="E12"/>
  <c r="D12"/>
  <c r="O13" i="11"/>
  <c r="N13"/>
  <c r="M13"/>
  <c r="L13"/>
  <c r="J13"/>
  <c r="I13"/>
  <c r="H13"/>
  <c r="G13"/>
  <c r="F13"/>
  <c r="E13"/>
  <c r="D13"/>
  <c r="O13" i="5"/>
  <c r="N13"/>
  <c r="M13"/>
  <c r="L13"/>
  <c r="J13"/>
  <c r="I13"/>
  <c r="H13"/>
  <c r="G13"/>
  <c r="F13"/>
  <c r="E13"/>
  <c r="D13"/>
  <c r="F30" l="1"/>
  <c r="F15"/>
  <c r="G15" i="11"/>
  <c r="G30"/>
  <c r="I35" s="1"/>
  <c r="D28" i="14"/>
  <c r="F33" s="1"/>
  <c r="D13"/>
  <c r="F29" i="6"/>
  <c r="H34" s="1"/>
  <c r="F23"/>
  <c r="E23"/>
  <c r="E29"/>
  <c r="F23" i="12"/>
  <c r="F30"/>
  <c r="H35" s="1"/>
  <c r="G23" i="6"/>
  <c r="G29"/>
  <c r="G29" i="13"/>
  <c r="I34" s="1"/>
  <c r="G14"/>
  <c r="D22" i="7"/>
  <c r="D28"/>
  <c r="D15" i="8"/>
  <c r="D30"/>
  <c r="G30" i="5"/>
  <c r="I35" s="1"/>
  <c r="G15"/>
  <c r="D30" i="11"/>
  <c r="D15"/>
  <c r="E28" i="14"/>
  <c r="E13"/>
  <c r="D29" i="13"/>
  <c r="D14"/>
  <c r="E22" i="7"/>
  <c r="E28"/>
  <c r="E30" i="8"/>
  <c r="E15"/>
  <c r="D30" i="5"/>
  <c r="F35" s="1"/>
  <c r="D15"/>
  <c r="E30" i="11"/>
  <c r="E15"/>
  <c r="F28" i="14"/>
  <c r="H33" s="1"/>
  <c r="F13"/>
  <c r="G24" i="5"/>
  <c r="D23" i="12"/>
  <c r="D30"/>
  <c r="F35" s="1"/>
  <c r="G22" i="10"/>
  <c r="G28"/>
  <c r="E29" i="13"/>
  <c r="E14"/>
  <c r="F22" i="7"/>
  <c r="F28"/>
  <c r="F30" i="8"/>
  <c r="F15"/>
  <c r="E30" i="5"/>
  <c r="E15"/>
  <c r="F30" i="11"/>
  <c r="H35" s="1"/>
  <c r="F15"/>
  <c r="G28" i="14"/>
  <c r="G13"/>
  <c r="D24" i="5"/>
  <c r="D23" i="6"/>
  <c r="D29"/>
  <c r="E23" i="12"/>
  <c r="E30"/>
  <c r="F29" i="13"/>
  <c r="F14"/>
  <c r="G22" i="7"/>
  <c r="G28"/>
  <c r="I33" s="1"/>
  <c r="G15" i="8"/>
  <c r="G30"/>
  <c r="I33" i="10"/>
  <c r="H35" i="8"/>
  <c r="H34" i="13"/>
  <c r="G35" i="5"/>
  <c r="F34" i="6"/>
  <c r="G35" i="12"/>
  <c r="H35" i="5"/>
  <c r="I34" i="6"/>
  <c r="G35" i="8"/>
  <c r="F33" i="7"/>
  <c r="H33"/>
  <c r="G34" i="13"/>
  <c r="I35" i="8"/>
  <c r="G34" i="6"/>
  <c r="I35" i="12"/>
  <c r="G33" i="7"/>
  <c r="F34" i="13"/>
  <c r="F35" i="8"/>
  <c r="G33" i="14"/>
  <c r="I33"/>
  <c r="F35" i="11"/>
  <c r="G35"/>
</calcChain>
</file>

<file path=xl/comments1.xml><?xml version="1.0" encoding="utf-8"?>
<comments xmlns="http://schemas.openxmlformats.org/spreadsheetml/2006/main">
  <authors>
    <author>Анастасия Мухина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7" authorId="0">
      <text>
        <r>
          <rPr>
            <b/>
            <sz val="9"/>
            <color indexed="81"/>
            <rFont val="Tahoma"/>
            <family val="2"/>
            <charset val="204"/>
          </rPr>
          <t>Анастасия Мухина: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<sst xmlns="http://schemas.openxmlformats.org/spreadsheetml/2006/main" count="1228" uniqueCount="165">
  <si>
    <t>Энергетическая ценность (ккал)</t>
  </si>
  <si>
    <t>Б</t>
  </si>
  <si>
    <t>Ж</t>
  </si>
  <si>
    <t>У</t>
  </si>
  <si>
    <t>С</t>
  </si>
  <si>
    <t>А</t>
  </si>
  <si>
    <t>Е</t>
  </si>
  <si>
    <t>Са</t>
  </si>
  <si>
    <t>Р</t>
  </si>
  <si>
    <t>Мg</t>
  </si>
  <si>
    <t>Fe</t>
  </si>
  <si>
    <t>ИТОГО:</t>
  </si>
  <si>
    <t>Макароны отварные с маслом</t>
  </si>
  <si>
    <t>Пюре картофельное</t>
  </si>
  <si>
    <t>Хлеб ржано-пшеничный</t>
  </si>
  <si>
    <t>ИТОГО за день:</t>
  </si>
  <si>
    <t>Рис отварной</t>
  </si>
  <si>
    <t>Яблоки свежие</t>
  </si>
  <si>
    <t>Тефтели мясные паровые</t>
  </si>
  <si>
    <t>Каша гречневая рассыпчатая</t>
  </si>
  <si>
    <r>
      <t>В</t>
    </r>
    <r>
      <rPr>
        <b/>
        <sz val="8"/>
        <color theme="1"/>
        <rFont val="Calibri"/>
        <family val="2"/>
        <charset val="204"/>
        <scheme val="minor"/>
      </rPr>
      <t>1</t>
    </r>
  </si>
  <si>
    <t>Приём пищи, наименование блюда</t>
  </si>
  <si>
    <t>Полдник</t>
  </si>
  <si>
    <t>Обед</t>
  </si>
  <si>
    <t>Масса порции</t>
  </si>
  <si>
    <t xml:space="preserve">МЕНЮ </t>
  </si>
  <si>
    <t>для обучающихся 1-4-х классов по категории от 7-11 лет общеобразовательных организаций Тверской</t>
  </si>
  <si>
    <t>требования к организации питания обучающихся в общеобразовательных учреждениях, учреждениях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</si>
  <si>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</si>
  <si>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</si>
  <si>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</si>
  <si>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Сборник технических нормативов-Сборник рецептур но продукцию для обучающихся во всех образовательных</t>
  </si>
  <si>
    <t>№ рец.</t>
  </si>
  <si>
    <t>Минеральные вещества (мг.)</t>
  </si>
  <si>
    <t>Витамины (мг.)</t>
  </si>
  <si>
    <t>Пищевые вещества (г.)</t>
  </si>
  <si>
    <t>сервиса и туризма».</t>
  </si>
  <si>
    <t>учреждениях/Под ред, М.П.Могильного и В.А.Тутельяна,-М,:Де/1и плюс, 2015,-544с</t>
  </si>
  <si>
    <t>детей дошкольного и школьного возраста в организованных коллективах».</t>
  </si>
  <si>
    <t>начального и среднего профессионального образования» и МР 2.4.5.0107-15 «Организация питания</t>
  </si>
  <si>
    <t>области в соответствии требованиям СанПиН 2.4.5.2409-08 «Санитарно-эпидемиологические</t>
  </si>
  <si>
    <t>Салат из моркови с яблоками</t>
  </si>
  <si>
    <t>Завтрак</t>
  </si>
  <si>
    <t xml:space="preserve"> Обед</t>
  </si>
  <si>
    <t>(3-х разового питания на 10 дней)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</si>
  <si>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</si>
  <si>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</si>
  <si>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</si>
  <si>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</si>
  <si>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</si>
  <si>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</si>
  <si>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</si>
  <si>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7-11 лет</t>
  </si>
  <si>
    <t>Сдоба обыкновенная</t>
  </si>
  <si>
    <t>Молоко</t>
  </si>
  <si>
    <t>вторник</t>
  </si>
  <si>
    <t>Какао с молоком</t>
  </si>
  <si>
    <t>среда</t>
  </si>
  <si>
    <t>четверг</t>
  </si>
  <si>
    <t>Напиток из плодов шиповника</t>
  </si>
  <si>
    <t>пятница</t>
  </si>
  <si>
    <t>Кисель из яблок</t>
  </si>
  <si>
    <t>Булочка "Веснушка"</t>
  </si>
  <si>
    <t>Компот из кураги</t>
  </si>
  <si>
    <t>В1</t>
  </si>
  <si>
    <t>Гуляш из отварного мяса (говядины) в томатно-сметанном соусе</t>
  </si>
  <si>
    <t>Салат из  моркови с яблоками и курагой</t>
  </si>
  <si>
    <t>Груши свежие</t>
  </si>
  <si>
    <t>Салат из белокачанной капусты с морковью</t>
  </si>
  <si>
    <t>Бананы</t>
  </si>
  <si>
    <t>ИТОГО</t>
  </si>
  <si>
    <t>Вареники ленивые отварные с йогуртом</t>
  </si>
  <si>
    <t>Кефир</t>
  </si>
  <si>
    <t>Ряженка</t>
  </si>
  <si>
    <t>Средние показания на день</t>
  </si>
  <si>
    <t>пищевые вещества</t>
  </si>
  <si>
    <t>энергет. ценн. ккал</t>
  </si>
  <si>
    <t>По меню</t>
  </si>
  <si>
    <t>Потребность по СаН ПиН (60-70%)</t>
  </si>
  <si>
    <t>46,2-53,9</t>
  </si>
  <si>
    <t>47,4-55,3</t>
  </si>
  <si>
    <t>201-234,5</t>
  </si>
  <si>
    <t>1410-1645</t>
  </si>
  <si>
    <t>По меню среднее за 10 дней</t>
  </si>
  <si>
    <t>Рыба тушеная в томате с овощами (минтай)</t>
  </si>
  <si>
    <t>Яйцо куриное сваренное вкрутую</t>
  </si>
  <si>
    <t>Салат из свеклы отварной с яблоками</t>
  </si>
  <si>
    <t>вторая</t>
  </si>
  <si>
    <t>Бутерброд с сыром российским (1 шт.)</t>
  </si>
  <si>
    <t>Наименование продуктов</t>
  </si>
  <si>
    <t>Количество продуктов в зависимости от возраста обучающихся</t>
  </si>
  <si>
    <t>в г, мл, брутто</t>
  </si>
  <si>
    <t>в г, мл, нетто</t>
  </si>
  <si>
    <t>Хлеб ржаной (ржано-пшеничный)</t>
  </si>
  <si>
    <t>Хлеб пшеничный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</si>
  <si>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</si>
  <si>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</si>
  <si>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</si>
  <si>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</si>
  <si>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</si>
  <si>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</si>
  <si>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</si>
  <si>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</si>
  <si>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</si>
  <si>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</si>
  <si>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</si>
  <si>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</si>
  <si>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</si>
  <si>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</si>
  <si>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</si>
  <si>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</si>
  <si>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</si>
  <si>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</si>
  <si>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</si>
  <si>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</si>
  <si>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</si>
  <si>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</si>
  <si>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сливочное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</si>
  <si>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</si>
  <si>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</si>
  <si>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</si>
  <si>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</si>
  <si>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</si>
  <si>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</si>
  <si>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</si>
  <si>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</si>
  <si>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</si>
  <si>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</si>
  <si>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Суп картофельный с фасолью на мясокостном бульоне</t>
  </si>
  <si>
    <t>Борщ с капустой и картофелем на мясокостном бульоне</t>
  </si>
  <si>
    <t>Винегрет овощной с растительным маслом (лук репчатый)</t>
  </si>
  <si>
    <t>Пирожок сдобный  печеный из дрожжевого теста с фаршем № 470 (яблочным) 1 шт.</t>
  </si>
  <si>
    <t>Напиток кофейный с молоком</t>
  </si>
  <si>
    <t>Щи из свежей капусты с картофелем на мясокостном бульоне</t>
  </si>
  <si>
    <t>Котлета, рубленная из птицы 2 шт. по 50 гр</t>
  </si>
  <si>
    <t>Рассольник ленинградский с крупой пшеничной на мясокостном бульоне</t>
  </si>
  <si>
    <t>Печень свиная тушеная в соусе</t>
  </si>
  <si>
    <t>Омлет натуральный, сваренный на пару.</t>
  </si>
  <si>
    <t>Суп с макаронными изделиями и картофелем на курином бульоне</t>
  </si>
  <si>
    <t>Куриные окорочка отварные с маслом</t>
  </si>
  <si>
    <t>Рыба припущенная (минтай) с маслом</t>
  </si>
  <si>
    <t>Суп крестьянский с крупой (перловой) на мясокостном бульоне</t>
  </si>
  <si>
    <t>Котлеты рыбные (треска) 2 шт.</t>
  </si>
  <si>
    <t>на осенне-зимний период</t>
  </si>
  <si>
    <t>200/10</t>
  </si>
  <si>
    <t>Сыр российский</t>
  </si>
  <si>
    <t>Средняя за 10 дней</t>
  </si>
  <si>
    <r>
      <t>В</t>
    </r>
    <r>
      <rPr>
        <sz val="8"/>
        <color theme="1"/>
        <rFont val="Calibri"/>
        <family val="2"/>
        <charset val="204"/>
        <scheme val="minor"/>
      </rPr>
      <t>1</t>
    </r>
  </si>
  <si>
    <t>Каша пшенная жидкая молочная с маслом</t>
  </si>
  <si>
    <t>Йогурт</t>
  </si>
  <si>
    <t>Хлеб пшеничный с маслом</t>
  </si>
  <si>
    <t xml:space="preserve">Хлеб пшеничный  </t>
  </si>
  <si>
    <t>Запеканка манная с изюмом и сметаной</t>
  </si>
  <si>
    <t>Сметана</t>
  </si>
  <si>
    <t>Каша вязкая на молоке из овсяных хлопьев "геркулес" с маслом сливочным</t>
  </si>
  <si>
    <t>Каша жидкая молочная из риса с маслом сливочным</t>
  </si>
  <si>
    <t>Сок  фруктовый (яблочный)</t>
  </si>
  <si>
    <t>Оладьи с яблоками с джемом</t>
  </si>
  <si>
    <t>150/15</t>
  </si>
  <si>
    <t>Капуста тушеная</t>
  </si>
  <si>
    <t>Чай -заварка</t>
  </si>
  <si>
    <t>Компот из свежих яблок</t>
  </si>
  <si>
    <t>Печенье затяжное</t>
  </si>
  <si>
    <t>Сок  фруктовый (абрикосовый)</t>
  </si>
  <si>
    <t>Сок  фруктовый (грушевый)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</si>
</sst>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25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Font="1"/>
    <xf numFmtId="0" fontId="10" fillId="0" borderId="0" xfId="0" applyFont="1" applyAlignment="1">
      <alignment horizontal="justify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vertical="top" wrapText="1"/>
      <protection hidden="1"/>
    </xf>
    <xf numFmtId="164" fontId="7" fillId="0" borderId="1" xfId="1" applyFont="1" applyBorder="1" applyAlignment="1" applyProtection="1">
      <alignment vertical="center" wrapText="1"/>
      <protection hidden="1"/>
    </xf>
    <xf numFmtId="0" fontId="2" fillId="0" borderId="0" xfId="0" applyFont="1" applyProtection="1"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0" fillId="0" borderId="0" xfId="0" applyAlignment="1">
      <alignment wrapText="1"/>
    </xf>
    <xf numFmtId="0" fontId="16" fillId="0" borderId="0" xfId="0" applyFont="1" applyAlignment="1">
      <alignment horizontal="justify" vertical="center"/>
    </xf>
    <xf numFmtId="0" fontId="0" fillId="0" borderId="0" xfId="0" applyFill="1"/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vertical="center" wrapText="1"/>
      <protection hidden="1"/>
    </xf>
    <xf numFmtId="164" fontId="7" fillId="0" borderId="0" xfId="1" applyFont="1" applyBorder="1" applyAlignment="1" applyProtection="1">
      <alignment vertical="top" wrapText="1"/>
      <protection hidden="1"/>
    </xf>
    <xf numFmtId="0" fontId="0" fillId="0" borderId="0" xfId="0" applyBorder="1"/>
    <xf numFmtId="0" fontId="2" fillId="0" borderId="0" xfId="0" applyFont="1" applyBorder="1" applyProtection="1">
      <protection hidden="1"/>
    </xf>
    <xf numFmtId="164" fontId="7" fillId="0" borderId="0" xfId="1" applyFont="1" applyBorder="1" applyAlignment="1" applyProtection="1">
      <alignment wrapText="1"/>
      <protection hidden="1"/>
    </xf>
    <xf numFmtId="164" fontId="5" fillId="6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Border="1" applyAlignment="1" applyProtection="1">
      <alignment horizontal="justify" vertical="top" wrapText="1"/>
      <protection hidden="1"/>
    </xf>
    <xf numFmtId="164" fontId="5" fillId="3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3" borderId="0" xfId="0" applyFont="1" applyFill="1" applyBorder="1" applyAlignment="1" applyProtection="1">
      <alignment horizontal="justify" vertical="top" wrapText="1"/>
      <protection hidden="1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/>
    <xf numFmtId="0" fontId="2" fillId="0" borderId="0" xfId="0" applyFont="1" applyFill="1" applyProtection="1">
      <protection hidden="1"/>
    </xf>
    <xf numFmtId="164" fontId="7" fillId="0" borderId="0" xfId="1" applyFont="1" applyFill="1" applyBorder="1" applyAlignment="1" applyProtection="1">
      <alignment horizontal="center" vertical="top" wrapText="1"/>
      <protection hidden="1"/>
    </xf>
    <xf numFmtId="164" fontId="2" fillId="0" borderId="1" xfId="0" applyNumberFormat="1" applyFont="1" applyBorder="1" applyAlignment="1" applyProtection="1">
      <alignment vertical="top" wrapText="1"/>
      <protection hidden="1"/>
    </xf>
    <xf numFmtId="0" fontId="5" fillId="3" borderId="2" xfId="0" applyFont="1" applyFill="1" applyBorder="1" applyAlignment="1" applyProtection="1">
      <alignment vertical="top" wrapText="1"/>
      <protection hidden="1"/>
    </xf>
    <xf numFmtId="0" fontId="5" fillId="3" borderId="3" xfId="0" applyFont="1" applyFill="1" applyBorder="1" applyAlignment="1" applyProtection="1">
      <alignment vertical="top" wrapText="1"/>
      <protection hidden="1"/>
    </xf>
    <xf numFmtId="164" fontId="5" fillId="3" borderId="3" xfId="0" applyNumberFormat="1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164" fontId="7" fillId="0" borderId="0" xfId="1" applyFont="1" applyBorder="1" applyAlignment="1" applyProtection="1">
      <alignment vertical="center" wrapText="1"/>
      <protection hidden="1"/>
    </xf>
    <xf numFmtId="2" fontId="19" fillId="0" borderId="12" xfId="0" applyNumberFormat="1" applyFont="1" applyBorder="1" applyAlignment="1">
      <alignment horizontal="center"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5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Fill="1" applyBorder="1" applyAlignment="1" applyProtection="1">
      <alignment vertical="top" wrapText="1"/>
      <protection hidden="1"/>
    </xf>
    <xf numFmtId="164" fontId="7" fillId="0" borderId="0" xfId="1" applyFont="1" applyFill="1" applyBorder="1" applyAlignment="1" applyProtection="1">
      <alignment vertical="center" wrapText="1"/>
      <protection hidden="1"/>
    </xf>
    <xf numFmtId="0" fontId="7" fillId="5" borderId="1" xfId="0" applyFont="1" applyFill="1" applyBorder="1" applyAlignment="1" applyProtection="1">
      <alignment vertical="top" wrapText="1"/>
      <protection hidden="1"/>
    </xf>
    <xf numFmtId="0" fontId="6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" fillId="0" borderId="1" xfId="0" applyFont="1" applyBorder="1"/>
    <xf numFmtId="0" fontId="23" fillId="0" borderId="0" xfId="0" applyFont="1" applyAlignment="1">
      <alignment horizontal="justify" vertical="center"/>
    </xf>
    <xf numFmtId="0" fontId="2" fillId="0" borderId="1" xfId="0" applyFont="1" applyFill="1" applyBorder="1" applyAlignment="1" applyProtection="1">
      <alignment vertical="top" wrapText="1"/>
      <protection hidden="1"/>
    </xf>
    <xf numFmtId="164" fontId="0" fillId="0" borderId="0" xfId="0" applyNumberFormat="1"/>
    <xf numFmtId="0" fontId="8" fillId="0" borderId="2" xfId="0" applyFont="1" applyBorder="1" applyAlignment="1" applyProtection="1">
      <alignment vertical="top" wrapText="1"/>
      <protection hidden="1"/>
    </xf>
    <xf numFmtId="0" fontId="9" fillId="0" borderId="3" xfId="0" applyFont="1" applyBorder="1" applyAlignment="1" applyProtection="1">
      <alignment vertical="top" wrapText="1"/>
      <protection hidden="1"/>
    </xf>
    <xf numFmtId="0" fontId="9" fillId="0" borderId="4" xfId="0" applyFont="1" applyBorder="1" applyAlignment="1" applyProtection="1">
      <alignment vertical="top" wrapText="1"/>
      <protection hidden="1"/>
    </xf>
    <xf numFmtId="0" fontId="8" fillId="0" borderId="2" xfId="0" applyFont="1" applyFill="1" applyBorder="1" applyAlignment="1" applyProtection="1">
      <alignment vertical="top" wrapText="1"/>
      <protection hidden="1"/>
    </xf>
    <xf numFmtId="0" fontId="0" fillId="0" borderId="0" xfId="0" applyFill="1" applyBorder="1"/>
    <xf numFmtId="0" fontId="2" fillId="0" borderId="0" xfId="0" applyFont="1" applyFill="1" applyBorder="1" applyProtection="1"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0" borderId="3" xfId="0" applyFont="1" applyFill="1" applyBorder="1" applyAlignment="1" applyProtection="1">
      <alignment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164" fontId="5" fillId="0" borderId="0" xfId="0" applyNumberFormat="1" applyFont="1" applyFill="1" applyBorder="1" applyAlignment="1" applyProtection="1">
      <alignment horizontal="justify" vertical="center" wrapText="1"/>
      <protection hidden="1"/>
    </xf>
    <xf numFmtId="0" fontId="5" fillId="0" borderId="0" xfId="0" applyFont="1" applyFill="1" applyBorder="1" applyAlignment="1" applyProtection="1">
      <alignment vertical="top" wrapText="1"/>
      <protection hidden="1"/>
    </xf>
    <xf numFmtId="0" fontId="5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Alignment="1" applyProtection="1">
      <alignment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wrapText="1"/>
    </xf>
    <xf numFmtId="0" fontId="26" fillId="0" borderId="0" xfId="0" applyFont="1"/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Fill="1" applyBorder="1" applyAlignment="1" applyProtection="1">
      <alignment horizontal="center" vertical="top" wrapText="1"/>
      <protection hidden="1"/>
    </xf>
    <xf numFmtId="0" fontId="31" fillId="0" borderId="1" xfId="0" applyFont="1" applyFill="1" applyBorder="1" applyAlignment="1" applyProtection="1">
      <alignment vertical="top" wrapText="1"/>
      <protection hidden="1"/>
    </xf>
    <xf numFmtId="164" fontId="32" fillId="0" borderId="1" xfId="1" applyFont="1" applyFill="1" applyBorder="1" applyAlignment="1" applyProtection="1">
      <alignment vertical="center" wrapText="1"/>
      <protection hidden="1"/>
    </xf>
    <xf numFmtId="0" fontId="33" fillId="0" borderId="0" xfId="0" applyFont="1" applyFill="1" applyProtection="1"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164" fontId="32" fillId="0" borderId="1" xfId="1" applyFont="1" applyBorder="1" applyAlignment="1" applyProtection="1">
      <alignment vertical="center" wrapText="1"/>
      <protection hidden="1"/>
    </xf>
    <xf numFmtId="0" fontId="33" fillId="0" borderId="0" xfId="0" applyFont="1"/>
    <xf numFmtId="0" fontId="26" fillId="0" borderId="0" xfId="0" applyFont="1" applyFill="1"/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31" fillId="5" borderId="1" xfId="0" applyFont="1" applyFill="1" applyBorder="1" applyAlignment="1" applyProtection="1">
      <alignment vertical="top" wrapText="1"/>
      <protection hidden="1"/>
    </xf>
    <xf numFmtId="0" fontId="33" fillId="0" borderId="1" xfId="0" applyFont="1" applyBorder="1" applyAlignment="1" applyProtection="1">
      <alignment vertical="top" wrapText="1"/>
      <protection hidden="1"/>
    </xf>
    <xf numFmtId="0" fontId="34" fillId="3" borderId="1" xfId="0" applyFont="1" applyFill="1" applyBorder="1" applyAlignment="1" applyProtection="1">
      <alignment vertical="top" wrapText="1"/>
      <protection hidden="1"/>
    </xf>
    <xf numFmtId="164" fontId="34" fillId="3" borderId="3" xfId="0" applyNumberFormat="1" applyFont="1" applyFill="1" applyBorder="1" applyAlignment="1" applyProtection="1">
      <alignment vertical="top" wrapText="1"/>
      <protection hidden="1"/>
    </xf>
    <xf numFmtId="164" fontId="34" fillId="3" borderId="1" xfId="0" applyNumberFormat="1" applyFont="1" applyFill="1" applyBorder="1" applyAlignment="1" applyProtection="1">
      <alignment horizontal="justify" vertical="center" wrapText="1"/>
      <protection hidden="1"/>
    </xf>
    <xf numFmtId="2" fontId="36" fillId="0" borderId="12" xfId="0" applyNumberFormat="1" applyFont="1" applyBorder="1" applyAlignment="1">
      <alignment horizontal="center" vertical="center" wrapText="1"/>
    </xf>
    <xf numFmtId="2" fontId="36" fillId="0" borderId="12" xfId="0" applyNumberFormat="1" applyFont="1" applyBorder="1" applyAlignment="1">
      <alignment horizontal="center" vertical="center"/>
    </xf>
    <xf numFmtId="2" fontId="36" fillId="0" borderId="15" xfId="0" applyNumberFormat="1" applyFont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vertical="center"/>
    </xf>
    <xf numFmtId="0" fontId="39" fillId="0" borderId="0" xfId="0" applyFont="1"/>
    <xf numFmtId="0" fontId="40" fillId="4" borderId="1" xfId="0" applyFont="1" applyFill="1" applyBorder="1" applyAlignment="1">
      <alignment vertical="center" wrapText="1"/>
    </xf>
    <xf numFmtId="0" fontId="40" fillId="4" borderId="1" xfId="0" applyFont="1" applyFill="1" applyBorder="1" applyAlignment="1">
      <alignment horizontal="left" vertical="top" wrapText="1"/>
    </xf>
    <xf numFmtId="2" fontId="41" fillId="0" borderId="1" xfId="0" applyNumberFormat="1" applyFont="1" applyBorder="1"/>
    <xf numFmtId="0" fontId="40" fillId="5" borderId="1" xfId="0" applyFont="1" applyFill="1" applyBorder="1" applyAlignment="1">
      <alignment horizontal="left" vertical="top" wrapText="1"/>
    </xf>
    <xf numFmtId="2" fontId="41" fillId="5" borderId="1" xfId="0" applyNumberFormat="1" applyFont="1" applyFill="1" applyBorder="1"/>
    <xf numFmtId="0" fontId="39" fillId="5" borderId="0" xfId="0" applyFont="1" applyFill="1"/>
    <xf numFmtId="0" fontId="39" fillId="8" borderId="0" xfId="0" applyFont="1" applyFill="1"/>
    <xf numFmtId="2" fontId="41" fillId="0" borderId="1" xfId="0" applyNumberFormat="1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6" fillId="0" borderId="0" xfId="0" applyNumberFormat="1" applyFont="1"/>
    <xf numFmtId="0" fontId="31" fillId="0" borderId="1" xfId="0" applyNumberFormat="1" applyFont="1" applyFill="1" applyBorder="1" applyAlignment="1" applyProtection="1">
      <alignment horizontal="center" vertical="top" wrapText="1"/>
      <protection hidden="1"/>
    </xf>
    <xf numFmtId="0" fontId="31" fillId="0" borderId="1" xfId="0" applyNumberFormat="1" applyFont="1" applyBorder="1" applyAlignment="1" applyProtection="1">
      <alignment horizontal="center" vertical="top" wrapText="1"/>
      <protection hidden="1"/>
    </xf>
    <xf numFmtId="0" fontId="31" fillId="5" borderId="1" xfId="0" applyNumberFormat="1" applyFont="1" applyFill="1" applyBorder="1" applyAlignment="1" applyProtection="1">
      <alignment horizontal="center" vertical="top" wrapText="1"/>
      <protection hidden="1"/>
    </xf>
    <xf numFmtId="0" fontId="33" fillId="0" borderId="1" xfId="0" applyNumberFormat="1" applyFont="1" applyBorder="1" applyAlignment="1" applyProtection="1">
      <alignment vertical="top" wrapText="1"/>
      <protection hidden="1"/>
    </xf>
    <xf numFmtId="0" fontId="26" fillId="0" borderId="0" xfId="0" applyNumberFormat="1" applyFont="1" applyBorder="1"/>
    <xf numFmtId="0" fontId="42" fillId="0" borderId="1" xfId="0" applyFont="1" applyBorder="1" applyAlignment="1">
      <alignment horizontal="center" vertical="center" wrapText="1"/>
    </xf>
    <xf numFmtId="164" fontId="32" fillId="0" borderId="2" xfId="1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/>
    <xf numFmtId="0" fontId="33" fillId="0" borderId="0" xfId="0" applyFont="1" applyFill="1" applyBorder="1" applyProtection="1">
      <protection hidden="1"/>
    </xf>
    <xf numFmtId="0" fontId="33" fillId="0" borderId="0" xfId="0" applyFont="1" applyBorder="1"/>
    <xf numFmtId="0" fontId="43" fillId="0" borderId="1" xfId="0" applyNumberFormat="1" applyFont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4" xfId="0" applyFill="1" applyBorder="1"/>
    <xf numFmtId="0" fontId="4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Protection="1">
      <protection hidden="1"/>
    </xf>
    <xf numFmtId="0" fontId="2" fillId="0" borderId="1" xfId="0" applyFont="1" applyBorder="1" applyProtection="1">
      <protection hidden="1"/>
    </xf>
    <xf numFmtId="0" fontId="0" fillId="0" borderId="0" xfId="0" applyBorder="1" applyAlignment="1">
      <alignment wrapText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justify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2" fillId="0" borderId="1" xfId="0" applyNumberFormat="1" applyFont="1" applyBorder="1"/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5" fillId="9" borderId="1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top" wrapText="1"/>
      <protection hidden="1"/>
    </xf>
    <xf numFmtId="164" fontId="2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vertical="center" wrapText="1"/>
      <protection hidden="1"/>
    </xf>
    <xf numFmtId="164" fontId="5" fillId="9" borderId="1" xfId="0" applyNumberFormat="1" applyFont="1" applyFill="1" applyBorder="1" applyAlignment="1" applyProtection="1">
      <alignment vertical="top" wrapText="1"/>
      <protection hidden="1"/>
    </xf>
    <xf numFmtId="0" fontId="34" fillId="9" borderId="2" xfId="0" applyFont="1" applyFill="1" applyBorder="1" applyAlignment="1" applyProtection="1">
      <alignment vertical="top"/>
      <protection hidden="1"/>
    </xf>
    <xf numFmtId="0" fontId="26" fillId="9" borderId="1" xfId="0" applyFont="1" applyFill="1" applyBorder="1" applyAlignment="1" applyProtection="1">
      <alignment vertical="top"/>
      <protection hidden="1"/>
    </xf>
    <xf numFmtId="0" fontId="26" fillId="9" borderId="1" xfId="0" applyNumberFormat="1" applyFont="1" applyFill="1" applyBorder="1" applyAlignment="1" applyProtection="1">
      <alignment vertical="top"/>
      <protection hidden="1"/>
    </xf>
    <xf numFmtId="164" fontId="26" fillId="9" borderId="1" xfId="0" applyNumberFormat="1" applyFont="1" applyFill="1" applyBorder="1" applyAlignment="1" applyProtection="1">
      <alignment vertical="top"/>
      <protection hidden="1"/>
    </xf>
    <xf numFmtId="0" fontId="34" fillId="9" borderId="2" xfId="0" applyFont="1" applyFill="1" applyBorder="1" applyAlignment="1" applyProtection="1">
      <alignment vertical="top" wrapText="1"/>
      <protection hidden="1"/>
    </xf>
    <xf numFmtId="0" fontId="26" fillId="9" borderId="3" xfId="0" applyFont="1" applyFill="1" applyBorder="1" applyAlignment="1" applyProtection="1">
      <protection hidden="1"/>
    </xf>
    <xf numFmtId="0" fontId="26" fillId="9" borderId="3" xfId="0" applyNumberFormat="1" applyFont="1" applyFill="1" applyBorder="1" applyAlignment="1" applyProtection="1">
      <protection hidden="1"/>
    </xf>
    <xf numFmtId="164" fontId="32" fillId="9" borderId="3" xfId="0" applyNumberFormat="1" applyFont="1" applyFill="1" applyBorder="1" applyAlignment="1" applyProtection="1">
      <protection hidden="1"/>
    </xf>
    <xf numFmtId="164" fontId="26" fillId="9" borderId="3" xfId="0" applyNumberFormat="1" applyFont="1" applyFill="1" applyBorder="1" applyAlignment="1" applyProtection="1">
      <protection hidden="1"/>
    </xf>
    <xf numFmtId="0" fontId="34" fillId="9" borderId="1" xfId="0" applyFont="1" applyFill="1" applyBorder="1" applyAlignment="1" applyProtection="1">
      <alignment vertical="top" wrapText="1"/>
      <protection hidden="1"/>
    </xf>
    <xf numFmtId="0" fontId="33" fillId="9" borderId="1" xfId="0" applyFont="1" applyFill="1" applyBorder="1" applyAlignment="1" applyProtection="1">
      <alignment vertical="top" wrapText="1"/>
      <protection hidden="1"/>
    </xf>
    <xf numFmtId="0" fontId="33" fillId="9" borderId="1" xfId="0" applyNumberFormat="1" applyFont="1" applyFill="1" applyBorder="1" applyAlignment="1" applyProtection="1">
      <alignment vertical="top" wrapText="1"/>
      <protection hidden="1"/>
    </xf>
    <xf numFmtId="164" fontId="32" fillId="9" borderId="1" xfId="0" applyNumberFormat="1" applyFont="1" applyFill="1" applyBorder="1" applyAlignment="1" applyProtection="1">
      <alignment vertical="top" wrapText="1"/>
      <protection hidden="1"/>
    </xf>
    <xf numFmtId="164" fontId="33" fillId="9" borderId="1" xfId="0" applyNumberFormat="1" applyFont="1" applyFill="1" applyBorder="1" applyAlignment="1" applyProtection="1">
      <alignment vertical="top" wrapText="1"/>
      <protection hidden="1"/>
    </xf>
    <xf numFmtId="164" fontId="5" fillId="9" borderId="1" xfId="0" applyNumberFormat="1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2" fillId="9" borderId="1" xfId="0" applyFont="1" applyFill="1" applyBorder="1" applyAlignment="1" applyProtection="1">
      <alignment horizontal="justify" vertical="center" wrapText="1"/>
      <protection hidden="1"/>
    </xf>
    <xf numFmtId="0" fontId="5" fillId="9" borderId="1" xfId="0" applyFont="1" applyFill="1" applyBorder="1" applyAlignment="1" applyProtection="1">
      <alignment horizontal="justify" vertical="center" wrapText="1"/>
      <protection hidden="1"/>
    </xf>
    <xf numFmtId="164" fontId="5" fillId="9" borderId="3" xfId="0" applyNumberFormat="1" applyFont="1" applyFill="1" applyBorder="1" applyAlignment="1" applyProtection="1">
      <alignment vertical="top" wrapText="1"/>
      <protection hidden="1"/>
    </xf>
    <xf numFmtId="164" fontId="0" fillId="9" borderId="0" xfId="0" applyNumberFormat="1" applyFill="1"/>
    <xf numFmtId="0" fontId="5" fillId="9" borderId="1" xfId="0" applyFont="1" applyFill="1" applyBorder="1" applyAlignment="1" applyProtection="1">
      <alignment vertical="top"/>
      <protection hidden="1"/>
    </xf>
    <xf numFmtId="0" fontId="0" fillId="9" borderId="1" xfId="0" applyFill="1" applyBorder="1" applyAlignment="1" applyProtection="1">
      <alignment vertical="top"/>
      <protection hidden="1"/>
    </xf>
    <xf numFmtId="0" fontId="5" fillId="9" borderId="2" xfId="0" applyFont="1" applyFill="1" applyBorder="1" applyAlignment="1" applyProtection="1">
      <alignment vertical="top" wrapText="1"/>
      <protection hidden="1"/>
    </xf>
    <xf numFmtId="0" fontId="5" fillId="9" borderId="3" xfId="0" applyFont="1" applyFill="1" applyBorder="1" applyAlignment="1" applyProtection="1">
      <alignment vertical="top" wrapText="1"/>
      <protection hidden="1"/>
    </xf>
    <xf numFmtId="0" fontId="5" fillId="9" borderId="4" xfId="0" applyFont="1" applyFill="1" applyBorder="1" applyAlignment="1" applyProtection="1">
      <alignment vertical="top" wrapText="1"/>
      <protection hidden="1"/>
    </xf>
    <xf numFmtId="0" fontId="2" fillId="9" borderId="1" xfId="0" applyFont="1" applyFill="1" applyBorder="1" applyAlignment="1" applyProtection="1">
      <alignment vertical="center" wrapText="1"/>
      <protection hidden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44" fillId="0" borderId="1" xfId="1" applyFont="1" applyBorder="1" applyAlignment="1" applyProtection="1">
      <alignment vertical="center" wrapText="1"/>
      <protection hidden="1"/>
    </xf>
    <xf numFmtId="164" fontId="44" fillId="0" borderId="1" xfId="1" applyFont="1" applyBorder="1" applyAlignment="1" applyProtection="1">
      <alignment horizontal="right" vertical="top" wrapText="1"/>
      <protection hidden="1"/>
    </xf>
    <xf numFmtId="0" fontId="44" fillId="0" borderId="1" xfId="0" applyFont="1" applyBorder="1" applyAlignment="1">
      <alignment horizontal="right" vertical="top" wrapText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23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Fill="1" applyBorder="1" applyAlignment="1">
      <alignment horizontal="center"/>
    </xf>
    <xf numFmtId="164" fontId="2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2" fontId="42" fillId="0" borderId="1" xfId="0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justify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4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3" fillId="0" borderId="0" xfId="0" applyFont="1" applyFill="1" applyBorder="1"/>
    <xf numFmtId="0" fontId="33" fillId="0" borderId="0" xfId="0" applyFont="1" applyFill="1"/>
    <xf numFmtId="2" fontId="19" fillId="0" borderId="12" xfId="0" applyNumberFormat="1" applyFont="1" applyFill="1" applyBorder="1" applyAlignment="1">
      <alignment horizontal="center" vertical="center" wrapText="1"/>
    </xf>
    <xf numFmtId="2" fontId="19" fillId="0" borderId="12" xfId="0" applyNumberFormat="1" applyFont="1" applyFill="1" applyBorder="1" applyAlignment="1">
      <alignment horizontal="center" vertical="center"/>
    </xf>
    <xf numFmtId="2" fontId="19" fillId="0" borderId="15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left" vertical="top" wrapText="1"/>
    </xf>
    <xf numFmtId="2" fontId="41" fillId="0" borderId="1" xfId="0" applyNumberFormat="1" applyFont="1" applyFill="1" applyBorder="1"/>
    <xf numFmtId="2" fontId="2" fillId="0" borderId="1" xfId="0" applyNumberFormat="1" applyFont="1" applyFill="1" applyBorder="1"/>
    <xf numFmtId="2" fontId="41" fillId="0" borderId="1" xfId="0" applyNumberFormat="1" applyFont="1" applyFill="1" applyBorder="1" applyAlignment="1">
      <alignment horizontal="center"/>
    </xf>
    <xf numFmtId="0" fontId="0" fillId="9" borderId="0" xfId="0" applyFill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8" fillId="7" borderId="7" xfId="0" applyNumberFormat="1" applyFont="1" applyFill="1" applyBorder="1" applyAlignment="1">
      <alignment horizontal="center" vertical="center" wrapText="1"/>
    </xf>
    <xf numFmtId="49" fontId="18" fillId="7" borderId="8" xfId="0" applyNumberFormat="1" applyFont="1" applyFill="1" applyBorder="1" applyAlignment="1">
      <alignment horizontal="center" vertical="center" wrapText="1"/>
    </xf>
    <xf numFmtId="49" fontId="18" fillId="7" borderId="13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 wrapText="1"/>
    </xf>
    <xf numFmtId="49" fontId="18" fillId="7" borderId="1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6" fillId="0" borderId="19" xfId="0" applyFont="1" applyFill="1" applyBorder="1" applyAlignment="1" applyProtection="1">
      <alignment horizontal="center" vertical="top" wrapText="1"/>
      <protection hidden="1"/>
    </xf>
    <xf numFmtId="0" fontId="6" fillId="0" borderId="6" xfId="0" applyFont="1" applyFill="1" applyBorder="1" applyAlignment="1" applyProtection="1">
      <alignment horizontal="center" vertical="top" wrapText="1"/>
      <protection hidden="1"/>
    </xf>
    <xf numFmtId="164" fontId="7" fillId="0" borderId="23" xfId="1" applyFont="1" applyFill="1" applyBorder="1" applyAlignment="1" applyProtection="1">
      <alignment horizontal="center" vertical="center" wrapText="1"/>
      <protection hidden="1"/>
    </xf>
    <xf numFmtId="164" fontId="7" fillId="0" borderId="20" xfId="1" applyFont="1" applyFill="1" applyBorder="1" applyAlignment="1" applyProtection="1">
      <alignment horizontal="center" vertical="center" wrapText="1"/>
      <protection hidden="1"/>
    </xf>
    <xf numFmtId="164" fontId="7" fillId="0" borderId="21" xfId="1" applyFont="1" applyFill="1" applyBorder="1" applyAlignment="1" applyProtection="1">
      <alignment horizontal="center" vertical="center" wrapText="1"/>
      <protection hidden="1"/>
    </xf>
    <xf numFmtId="164" fontId="7" fillId="0" borderId="24" xfId="1" applyFont="1" applyFill="1" applyBorder="1" applyAlignment="1" applyProtection="1">
      <alignment horizontal="center" vertical="center" wrapText="1"/>
      <protection hidden="1"/>
    </xf>
    <xf numFmtId="164" fontId="7" fillId="0" borderId="0" xfId="1" applyFont="1" applyFill="1" applyBorder="1" applyAlignment="1" applyProtection="1">
      <alignment horizontal="center" vertical="center" wrapText="1"/>
      <protection hidden="1"/>
    </xf>
    <xf numFmtId="164" fontId="7" fillId="0" borderId="22" xfId="1" applyFont="1" applyFill="1" applyBorder="1" applyAlignment="1" applyProtection="1">
      <alignment horizontal="center" vertical="center" wrapText="1"/>
      <protection hidden="1"/>
    </xf>
    <xf numFmtId="164" fontId="7" fillId="0" borderId="25" xfId="1" applyFont="1" applyFill="1" applyBorder="1" applyAlignment="1" applyProtection="1">
      <alignment horizontal="center" vertical="center" wrapText="1"/>
      <protection hidden="1"/>
    </xf>
    <xf numFmtId="164" fontId="7" fillId="0" borderId="18" xfId="1" applyFont="1" applyFill="1" applyBorder="1" applyAlignment="1" applyProtection="1">
      <alignment horizontal="center" vertical="center" wrapText="1"/>
      <protection hidden="1"/>
    </xf>
    <xf numFmtId="164" fontId="7" fillId="0" borderId="26" xfId="1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4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Border="1" applyAlignment="1" applyProtection="1">
      <alignment horizontal="center" vertical="top" wrapText="1"/>
      <protection hidden="1"/>
    </xf>
    <xf numFmtId="0" fontId="5" fillId="0" borderId="4" xfId="0" applyFont="1" applyBorder="1" applyAlignment="1" applyProtection="1">
      <alignment horizontal="center" vertical="top" wrapText="1"/>
      <protection hidden="1"/>
    </xf>
    <xf numFmtId="0" fontId="40" fillId="4" borderId="1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0" fontId="40" fillId="4" borderId="6" xfId="0" applyFont="1" applyFill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4" borderId="2" xfId="0" applyFont="1" applyFill="1" applyBorder="1" applyAlignment="1">
      <alignment horizontal="center" vertical="top" wrapText="1"/>
    </xf>
    <xf numFmtId="0" fontId="40" fillId="4" borderId="4" xfId="0" applyFont="1" applyFill="1" applyBorder="1" applyAlignment="1">
      <alignment horizontal="center" vertical="top" wrapText="1"/>
    </xf>
    <xf numFmtId="0" fontId="40" fillId="5" borderId="2" xfId="0" applyFont="1" applyFill="1" applyBorder="1" applyAlignment="1">
      <alignment horizontal="center" vertical="top" wrapText="1"/>
    </xf>
    <xf numFmtId="0" fontId="40" fillId="5" borderId="4" xfId="0" applyFont="1" applyFill="1" applyBorder="1" applyAlignment="1">
      <alignment horizontal="center" vertical="top" wrapText="1"/>
    </xf>
    <xf numFmtId="0" fontId="40" fillId="4" borderId="2" xfId="0" applyFont="1" applyFill="1" applyBorder="1" applyAlignment="1">
      <alignment horizontal="center" vertical="top"/>
    </xf>
    <xf numFmtId="0" fontId="40" fillId="4" borderId="4" xfId="0" applyFont="1" applyFill="1" applyBorder="1" applyAlignment="1">
      <alignment horizontal="center" vertical="top"/>
    </xf>
    <xf numFmtId="0" fontId="27" fillId="2" borderId="2" xfId="0" applyFont="1" applyFill="1" applyBorder="1" applyAlignment="1" applyProtection="1">
      <alignment horizontal="center" vertical="center" wrapText="1"/>
      <protection hidden="1"/>
    </xf>
    <xf numFmtId="0" fontId="27" fillId="2" borderId="3" xfId="0" applyFont="1" applyFill="1" applyBorder="1" applyAlignment="1" applyProtection="1">
      <alignment horizontal="center" vertical="center" wrapText="1"/>
      <protection hidden="1"/>
    </xf>
    <xf numFmtId="0" fontId="27" fillId="2" borderId="4" xfId="0" applyFont="1" applyFill="1" applyBorder="1" applyAlignment="1" applyProtection="1">
      <alignment horizontal="center" vertical="center" wrapText="1"/>
      <protection hidden="1"/>
    </xf>
    <xf numFmtId="0" fontId="27" fillId="2" borderId="5" xfId="0" applyFont="1" applyFill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 wrapText="1"/>
      <protection hidden="1"/>
    </xf>
    <xf numFmtId="0" fontId="26" fillId="0" borderId="6" xfId="0" applyFont="1" applyBorder="1" applyAlignment="1" applyProtection="1">
      <alignment vertical="center" wrapText="1"/>
      <protection hidden="1"/>
    </xf>
    <xf numFmtId="0" fontId="27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6" xfId="0" applyNumberFormat="1" applyFont="1" applyBorder="1" applyAlignment="1" applyProtection="1">
      <alignment horizontal="center" vertical="center" wrapText="1"/>
      <protection hidden="1"/>
    </xf>
    <xf numFmtId="49" fontId="35" fillId="7" borderId="7" xfId="0" applyNumberFormat="1" applyFont="1" applyFill="1" applyBorder="1" applyAlignment="1">
      <alignment horizontal="center" vertical="center" wrapText="1"/>
    </xf>
    <xf numFmtId="49" fontId="35" fillId="7" borderId="8" xfId="0" applyNumberFormat="1" applyFont="1" applyFill="1" applyBorder="1" applyAlignment="1">
      <alignment horizontal="center" vertical="center" wrapText="1"/>
    </xf>
    <xf numFmtId="49" fontId="35" fillId="7" borderId="13" xfId="0" applyNumberFormat="1" applyFont="1" applyFill="1" applyBorder="1" applyAlignment="1">
      <alignment horizontal="center" vertical="center" wrapText="1"/>
    </xf>
    <xf numFmtId="49" fontId="35" fillId="7" borderId="14" xfId="0" applyNumberFormat="1" applyFont="1" applyFill="1" applyBorder="1" applyAlignment="1">
      <alignment horizontal="center" vertical="center" wrapText="1"/>
    </xf>
    <xf numFmtId="2" fontId="36" fillId="0" borderId="9" xfId="0" applyNumberFormat="1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49" fontId="35" fillId="7" borderId="16" xfId="0" applyNumberFormat="1" applyFont="1" applyFill="1" applyBorder="1" applyAlignment="1">
      <alignment horizontal="center" vertical="center" wrapText="1"/>
    </xf>
    <xf numFmtId="49" fontId="35" fillId="7" borderId="17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5" xfId="0" applyFont="1" applyFill="1" applyBorder="1" applyAlignment="1" applyProtection="1">
      <alignment horizontal="center" vertical="top" wrapText="1"/>
      <protection hidden="1"/>
    </xf>
    <xf numFmtId="0" fontId="31" fillId="0" borderId="6" xfId="0" applyFont="1" applyFill="1" applyBorder="1" applyAlignment="1" applyProtection="1">
      <alignment horizontal="center" vertical="top" wrapText="1"/>
      <protection hidden="1"/>
    </xf>
    <xf numFmtId="0" fontId="42" fillId="0" borderId="23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29" fillId="0" borderId="3" xfId="0" applyFont="1" applyBorder="1" applyAlignment="1" applyProtection="1">
      <alignment horizontal="center" vertical="top" wrapText="1"/>
      <protection hidden="1"/>
    </xf>
    <xf numFmtId="0" fontId="29" fillId="0" borderId="4" xfId="0" applyFont="1" applyBorder="1" applyAlignment="1" applyProtection="1">
      <alignment horizontal="center" vertical="top" wrapText="1"/>
      <protection hidden="1"/>
    </xf>
    <xf numFmtId="164" fontId="32" fillId="0" borderId="2" xfId="1" applyFont="1" applyFill="1" applyBorder="1" applyAlignment="1" applyProtection="1">
      <alignment horizontal="center" vertical="center" wrapText="1"/>
      <protection hidden="1"/>
    </xf>
    <xf numFmtId="164" fontId="32" fillId="0" borderId="3" xfId="1" applyFont="1" applyFill="1" applyBorder="1" applyAlignment="1" applyProtection="1">
      <alignment horizontal="center" vertical="center" wrapText="1"/>
      <protection hidden="1"/>
    </xf>
    <xf numFmtId="164" fontId="32" fillId="0" borderId="4" xfId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top" wrapText="1"/>
      <protection hidden="1"/>
    </xf>
    <xf numFmtId="0" fontId="9" fillId="0" borderId="1" xfId="0" applyFont="1" applyFill="1" applyBorder="1" applyAlignment="1" applyProtection="1">
      <alignment horizontal="center" vertical="top" wrapText="1"/>
      <protection hidden="1"/>
    </xf>
    <xf numFmtId="49" fontId="18" fillId="0" borderId="7" xfId="0" applyNumberFormat="1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28" xfId="0" applyNumberFormat="1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2" fontId="19" fillId="0" borderId="9" xfId="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2" fontId="19" fillId="0" borderId="11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29" xfId="0" applyNumberFormat="1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/>
    </xf>
    <xf numFmtId="0" fontId="41" fillId="0" borderId="4" xfId="0" applyFont="1" applyFill="1" applyBorder="1" applyAlignment="1">
      <alignment horizontal="center"/>
    </xf>
    <xf numFmtId="0" fontId="42" fillId="0" borderId="23" xfId="0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25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top" wrapText="1"/>
      <protection hidden="1"/>
    </xf>
    <xf numFmtId="0" fontId="8" fillId="0" borderId="3" xfId="0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horizontal="center" vertical="top" wrapText="1"/>
      <protection hidden="1"/>
    </xf>
    <xf numFmtId="0" fontId="40" fillId="0" borderId="2" xfId="0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vertical="top"/>
    </xf>
    <xf numFmtId="0" fontId="40" fillId="0" borderId="4" xfId="0" applyFont="1" applyFill="1" applyBorder="1" applyAlignment="1">
      <alignment horizontal="center" vertical="top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8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top" wrapText="1"/>
      <protection hidden="1"/>
    </xf>
    <xf numFmtId="0" fontId="8" fillId="0" borderId="2" xfId="0" applyFont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164" fontId="7" fillId="0" borderId="1" xfId="1" applyFont="1" applyFill="1" applyBorder="1" applyAlignment="1" applyProtection="1">
      <alignment horizontal="center" vertical="center" wrapText="1"/>
      <protection hidden="1"/>
    </xf>
    <xf numFmtId="164" fontId="7" fillId="0" borderId="2" xfId="1" applyFont="1" applyFill="1" applyBorder="1" applyAlignment="1" applyProtection="1">
      <alignment horizontal="center" vertical="center" wrapText="1"/>
      <protection hidden="1"/>
    </xf>
    <xf numFmtId="164" fontId="7" fillId="0" borderId="3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center" vertical="center" wrapText="1"/>
      <protection hidden="1"/>
    </xf>
    <xf numFmtId="0" fontId="22" fillId="4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21"/>
  <sheetViews>
    <sheetView view="pageBreakPreview" zoomScale="70" zoomScaleNormal="70" zoomScaleSheetLayoutView="70" workbookViewId="0">
      <selection activeCell="A15" sqref="A15:O15"/>
    </sheetView>
  </sheetViews>
  <sheetFormatPr defaultColWidth="8.85546875" defaultRowHeight="15"/>
  <cols>
    <col min="1" max="1" width="8.85546875" style="1"/>
    <col min="2" max="2" width="39.5703125" style="1" customWidth="1"/>
    <col min="3" max="6" width="8.85546875" style="1"/>
    <col min="7" max="7" width="12.7109375" style="1" bestFit="1" customWidth="1"/>
    <col min="8" max="16384" width="8.85546875" style="1"/>
  </cols>
  <sheetData>
    <row r="1" spans="1:15" ht="32.25">
      <c r="A1" s="206" t="s">
        <v>25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2" spans="1:15" ht="32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2.25">
      <c r="A3" s="206" t="s">
        <v>44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</row>
    <row r="4" spans="1:15" ht="21">
      <c r="E4" s="5" t="s">
        <v>143</v>
      </c>
      <c r="F4" s="5"/>
    </row>
    <row r="6" spans="1:15" ht="21">
      <c r="A6" s="204" t="s">
        <v>26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21">
      <c r="A7" s="204" t="s">
        <v>40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</row>
    <row r="8" spans="1:15" ht="21">
      <c r="A8" s="204" t="s">
        <v>27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</row>
    <row r="9" spans="1:15" ht="21">
      <c r="A9" s="204" t="s">
        <v>39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</row>
    <row r="10" spans="1:15" ht="21">
      <c r="A10" s="204" t="s">
        <v>38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</row>
    <row r="11" spans="1:15" ht="21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</row>
    <row r="12" spans="1:15" ht="2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ht="2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ht="21">
      <c r="A14" s="208" t="s">
        <v>31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</row>
    <row r="15" spans="1:15" ht="21">
      <c r="A15" s="208" t="s">
        <v>37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</row>
    <row r="16" spans="1:15" ht="21">
      <c r="A16" s="208" t="s">
        <v>28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</row>
    <row r="17" spans="1:15" ht="21">
      <c r="A17" s="208" t="s">
        <v>29</v>
      </c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</row>
    <row r="18" spans="1:15" ht="2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21">
      <c r="A19" s="208" t="s">
        <v>30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</row>
    <row r="20" spans="1:15" ht="21">
      <c r="A20" s="208" t="s">
        <v>36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</row>
    <row r="21" spans="1:15" ht="18.75">
      <c r="A21" s="2"/>
    </row>
  </sheetData>
  <sheetProtection selectLockedCells="1" selectUnlockedCells="1"/>
  <mergeCells count="14">
    <mergeCell ref="A19:O19"/>
    <mergeCell ref="A20:O20"/>
    <mergeCell ref="A10:O10"/>
    <mergeCell ref="A11:O11"/>
    <mergeCell ref="A14:O14"/>
    <mergeCell ref="A15:O15"/>
    <mergeCell ref="A16:O16"/>
    <mergeCell ref="A17:O17"/>
    <mergeCell ref="A9:O9"/>
    <mergeCell ref="A1:O1"/>
    <mergeCell ref="A3:O3"/>
    <mergeCell ref="A6:O6"/>
    <mergeCell ref="A7:O7"/>
    <mergeCell ref="A8:O8"/>
  </mergeCells>
  <printOptions horizontalCentered="1" verticalCentered="1"/>
  <pageMargins left="0.70866141732283472" right="0.70866141732283472" top="0.43307086614173229" bottom="0.62992125984251968" header="0.31496062992125984" footer="0.31496062992125984"/>
  <pageSetup paperSize="9" scale="78" fitToHeight="6" orientation="landscape" r:id="rId1"/>
  <headerFooter differentFirst="1">
    <oddFooter>&amp;CМухина Анастасия Викторовна, ГБПОУ "Тверской колледж сервиса и туризма"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S68"/>
  <sheetViews>
    <sheetView view="pageBreakPreview" topLeftCell="A37" zoomScale="80" zoomScaleSheetLayoutView="80" workbookViewId="0">
      <selection activeCell="G64" sqref="G64"/>
    </sheetView>
  </sheetViews>
  <sheetFormatPr defaultRowHeight="15"/>
  <cols>
    <col min="1" max="1" width="12.140625" customWidth="1"/>
    <col min="2" max="2" width="38.5703125" bestFit="1" customWidth="1"/>
    <col min="7" max="7" width="10.28515625" customWidth="1"/>
    <col min="8" max="8" width="11.42578125" customWidth="1"/>
    <col min="9" max="9" width="11.140625" customWidth="1"/>
    <col min="12" max="12" width="10.140625" bestFit="1" customWidth="1"/>
    <col min="13" max="13" width="9.28515625" customWidth="1"/>
  </cols>
  <sheetData>
    <row r="1" spans="1:19" ht="15.75">
      <c r="A1" s="15" t="s">
        <v>45</v>
      </c>
      <c r="B1" s="14" t="s">
        <v>58</v>
      </c>
    </row>
    <row r="2" spans="1:19" ht="15.75">
      <c r="A2" s="15" t="s">
        <v>47</v>
      </c>
      <c r="B2" s="14" t="s">
        <v>87</v>
      </c>
    </row>
    <row r="3" spans="1:19" ht="15.75">
      <c r="A3" s="15" t="s">
        <v>49</v>
      </c>
      <c r="B3" s="14" t="s">
        <v>50</v>
      </c>
    </row>
    <row r="4" spans="1:19" ht="63">
      <c r="A4" s="15" t="s">
        <v>51</v>
      </c>
      <c r="B4" s="14" t="s">
        <v>52</v>
      </c>
    </row>
    <row r="5" spans="1:19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9" s="16" customFormat="1">
      <c r="A8" s="228">
        <v>186</v>
      </c>
      <c r="B8" s="10" t="s">
        <v>152</v>
      </c>
      <c r="C8" s="128">
        <v>120</v>
      </c>
      <c r="D8" s="18">
        <v>5.93</v>
      </c>
      <c r="E8" s="18">
        <v>5.46</v>
      </c>
      <c r="F8" s="18">
        <v>37.9</v>
      </c>
      <c r="G8" s="18">
        <v>225</v>
      </c>
      <c r="H8" s="18">
        <v>0.06</v>
      </c>
      <c r="I8" s="18">
        <v>0.21</v>
      </c>
      <c r="J8" s="18">
        <v>18.3</v>
      </c>
      <c r="K8" s="18">
        <v>0.95</v>
      </c>
      <c r="L8" s="18">
        <v>139.66999999999999</v>
      </c>
      <c r="M8" s="18">
        <v>124.86</v>
      </c>
      <c r="N8" s="18">
        <v>21.8</v>
      </c>
      <c r="O8" s="18">
        <v>0.65</v>
      </c>
    </row>
    <row r="9" spans="1:19" s="16" customFormat="1">
      <c r="A9" s="230"/>
      <c r="B9" s="10" t="s">
        <v>153</v>
      </c>
      <c r="C9" s="128">
        <v>20</v>
      </c>
      <c r="D9" s="346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8"/>
    </row>
    <row r="10" spans="1:19" s="84" customFormat="1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>
      <c r="A13" s="9">
        <v>379</v>
      </c>
      <c r="B13" s="13" t="s">
        <v>132</v>
      </c>
      <c r="C13" s="9">
        <v>200</v>
      </c>
      <c r="D13" s="11">
        <f>15.83/5</f>
        <v>3.1659999999999999</v>
      </c>
      <c r="E13" s="11">
        <f>13.39/5</f>
        <v>2.6779999999999999</v>
      </c>
      <c r="F13" s="11">
        <f>79.73/5</f>
        <v>15.946000000000002</v>
      </c>
      <c r="G13" s="11">
        <f>503/5</f>
        <v>100.6</v>
      </c>
      <c r="H13" s="11">
        <f>0.22/5</f>
        <v>4.3999999999999997E-2</v>
      </c>
      <c r="I13" s="11">
        <f>6.5/5</f>
        <v>1.3</v>
      </c>
      <c r="J13" s="11">
        <f>100/5</f>
        <v>20</v>
      </c>
      <c r="K13" s="11"/>
      <c r="L13" s="11">
        <f>628.9/5</f>
        <v>125.78</v>
      </c>
      <c r="M13" s="11">
        <f>450/5</f>
        <v>90</v>
      </c>
      <c r="N13" s="11">
        <f>70/5</f>
        <v>14</v>
      </c>
      <c r="O13" s="11">
        <f>0.67/5</f>
        <v>0.13400000000000001</v>
      </c>
      <c r="P13" s="20"/>
      <c r="Q13" s="20"/>
      <c r="R13" s="20"/>
    </row>
    <row r="14" spans="1:19" s="32" customFormat="1" ht="16.149999999999999" customHeight="1">
      <c r="A14" s="140" t="s">
        <v>11</v>
      </c>
      <c r="B14" s="141"/>
      <c r="C14" s="141"/>
      <c r="D14" s="159">
        <f t="shared" ref="D14:F14" si="0">SUM(D8:D13)</f>
        <v>12.795999999999999</v>
      </c>
      <c r="E14" s="159">
        <f t="shared" si="0"/>
        <v>16.638000000000002</v>
      </c>
      <c r="F14" s="159">
        <f t="shared" si="0"/>
        <v>80.096000000000004</v>
      </c>
      <c r="G14" s="159">
        <f>SUM(G8:G13)</f>
        <v>480.6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  <c r="R14" s="63"/>
    </row>
    <row r="15" spans="1:19" s="32" customFormat="1" ht="16.149999999999999" customHeight="1">
      <c r="A15" s="297" t="s">
        <v>43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</row>
    <row r="16" spans="1:19" s="16" customFormat="1">
      <c r="A16" s="17">
        <v>54</v>
      </c>
      <c r="B16" s="10" t="s">
        <v>86</v>
      </c>
      <c r="C16" s="17">
        <v>100</v>
      </c>
      <c r="D16" s="18">
        <f>1.9</f>
        <v>1.9</v>
      </c>
      <c r="E16" s="18">
        <v>6.08</v>
      </c>
      <c r="F16" s="18">
        <v>11.2</v>
      </c>
      <c r="G16" s="18">
        <v>103.9</v>
      </c>
      <c r="H16" s="18">
        <v>0.02</v>
      </c>
      <c r="I16" s="18">
        <v>6.44</v>
      </c>
      <c r="J16" s="18"/>
      <c r="K16" s="18">
        <v>10.6</v>
      </c>
      <c r="L16" s="18">
        <v>29.27</v>
      </c>
      <c r="M16" s="18">
        <v>31.8</v>
      </c>
      <c r="N16" s="18">
        <v>16.829999999999998</v>
      </c>
      <c r="O16" s="18">
        <v>1.48</v>
      </c>
    </row>
    <row r="17" spans="1:15" s="32" customFormat="1" ht="25.5">
      <c r="A17" s="17">
        <v>98</v>
      </c>
      <c r="B17" s="10" t="s">
        <v>141</v>
      </c>
      <c r="C17" s="17">
        <v>250</v>
      </c>
      <c r="D17" s="18">
        <f>5.93/4+0.8</f>
        <v>2.2824999999999998</v>
      </c>
      <c r="E17" s="18">
        <f>19.67/4+0.2</f>
        <v>5.1175000000000006</v>
      </c>
      <c r="F17" s="18">
        <f>24.36/4</f>
        <v>6.09</v>
      </c>
      <c r="G17" s="18">
        <f>305/4+5+30</f>
        <v>111.25</v>
      </c>
      <c r="H17" s="18">
        <f>0.17/4</f>
        <v>4.2500000000000003E-2</v>
      </c>
      <c r="I17" s="18">
        <f>39.5/4</f>
        <v>9.875</v>
      </c>
      <c r="J17" s="18"/>
      <c r="K17" s="18">
        <f>9.2/4</f>
        <v>2.2999999999999998</v>
      </c>
      <c r="L17" s="18">
        <f>143.5/4+2</f>
        <v>37.875</v>
      </c>
      <c r="M17" s="18">
        <f>134.3/4</f>
        <v>33.575000000000003</v>
      </c>
      <c r="N17" s="18">
        <f>56.7/4</f>
        <v>14.175000000000001</v>
      </c>
      <c r="O17" s="18">
        <f>2.3/4</f>
        <v>0.57499999999999996</v>
      </c>
    </row>
    <row r="18" spans="1:15" s="31" customFormat="1" ht="12.75">
      <c r="A18" s="17">
        <v>234</v>
      </c>
      <c r="B18" s="10" t="s">
        <v>142</v>
      </c>
      <c r="C18" s="17">
        <v>110</v>
      </c>
      <c r="D18" s="18">
        <v>13.98</v>
      </c>
      <c r="E18" s="18">
        <f>3.71*2</f>
        <v>7.42</v>
      </c>
      <c r="F18" s="18">
        <f>9.97*2</f>
        <v>19.940000000000001</v>
      </c>
      <c r="G18" s="18">
        <f>120*2</f>
        <v>240</v>
      </c>
      <c r="H18" s="18">
        <f>0.047*2</f>
        <v>9.4E-2</v>
      </c>
      <c r="I18" s="18">
        <f>0.88*2</f>
        <v>1.76</v>
      </c>
      <c r="J18" s="18">
        <f>15*2</f>
        <v>30</v>
      </c>
      <c r="K18" s="18">
        <f>2.61*2</f>
        <v>5.22</v>
      </c>
      <c r="L18" s="18">
        <f>40.92*2</f>
        <v>81.84</v>
      </c>
      <c r="M18" s="18">
        <f>92.31*2</f>
        <v>184.62</v>
      </c>
      <c r="N18" s="18">
        <f>27.56*2</f>
        <v>55.12</v>
      </c>
      <c r="O18" s="18">
        <f>0.77*2</f>
        <v>1.54</v>
      </c>
    </row>
    <row r="19" spans="1:15" s="16" customFormat="1">
      <c r="A19" s="173">
        <v>139</v>
      </c>
      <c r="B19" s="10" t="s">
        <v>159</v>
      </c>
      <c r="C19" s="173">
        <v>100</v>
      </c>
      <c r="D19" s="18">
        <v>2.04</v>
      </c>
      <c r="E19" s="18">
        <v>3.68</v>
      </c>
      <c r="F19" s="18">
        <v>7.89</v>
      </c>
      <c r="G19" s="18">
        <v>77</v>
      </c>
      <c r="H19" s="18">
        <v>0.04</v>
      </c>
      <c r="I19" s="18">
        <v>17.079999999999998</v>
      </c>
      <c r="J19" s="18">
        <v>0</v>
      </c>
      <c r="K19" s="18">
        <v>1.95</v>
      </c>
      <c r="L19" s="18">
        <v>58.75</v>
      </c>
      <c r="M19" s="18">
        <v>40.69</v>
      </c>
      <c r="N19" s="18">
        <v>20.85</v>
      </c>
      <c r="O19" s="18">
        <v>0.83</v>
      </c>
    </row>
    <row r="20" spans="1:15" s="16" customFormat="1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5" s="16" customFormat="1">
      <c r="A21" s="179">
        <v>389</v>
      </c>
      <c r="B21" s="10" t="s">
        <v>156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2" customFormat="1" ht="16.149999999999999" customHeight="1">
      <c r="A23" s="140" t="s">
        <v>11</v>
      </c>
      <c r="B23" s="141"/>
      <c r="C23" s="141"/>
      <c r="D23" s="159">
        <f t="shared" ref="D23:F23" si="1">SUM(D16:D22)</f>
        <v>26.602500000000003</v>
      </c>
      <c r="E23" s="159">
        <f t="shared" si="1"/>
        <v>23.577499999999997</v>
      </c>
      <c r="F23" s="159">
        <f t="shared" si="1"/>
        <v>104.4</v>
      </c>
      <c r="G23" s="159">
        <f>SUM(G16:G22)</f>
        <v>802.43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>
      <c r="A24" s="339" t="s">
        <v>22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</row>
    <row r="25" spans="1:15" s="50" customFormat="1" ht="12.75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>
      <c r="A26" s="17">
        <v>386</v>
      </c>
      <c r="B26" s="10" t="s">
        <v>73</v>
      </c>
      <c r="C26" s="17">
        <v>200</v>
      </c>
      <c r="D26" s="18">
        <v>5.8</v>
      </c>
      <c r="E26" s="18">
        <v>5</v>
      </c>
      <c r="F26" s="18">
        <v>8.4</v>
      </c>
      <c r="G26" s="18">
        <v>102</v>
      </c>
      <c r="H26" s="18">
        <v>0.03</v>
      </c>
      <c r="I26" s="18">
        <v>1.47</v>
      </c>
      <c r="J26" s="18">
        <v>40</v>
      </c>
      <c r="K26" s="18"/>
      <c r="L26" s="18">
        <v>248</v>
      </c>
      <c r="M26" s="18">
        <v>184</v>
      </c>
      <c r="N26" s="18">
        <v>28</v>
      </c>
      <c r="O26" s="18">
        <v>0.2</v>
      </c>
    </row>
    <row r="27" spans="1:15" s="16" customFormat="1">
      <c r="A27" s="17">
        <v>338</v>
      </c>
      <c r="B27" s="10" t="s">
        <v>67</v>
      </c>
      <c r="C27" s="17">
        <v>100</v>
      </c>
      <c r="D27" s="18">
        <v>0.4</v>
      </c>
      <c r="E27" s="18">
        <v>0.3</v>
      </c>
      <c r="F27" s="18">
        <v>10.3</v>
      </c>
      <c r="G27" s="18">
        <v>47</v>
      </c>
      <c r="H27" s="121">
        <v>0.02</v>
      </c>
      <c r="I27" s="18">
        <v>5</v>
      </c>
      <c r="J27" s="18"/>
      <c r="K27" s="18">
        <v>0.4</v>
      </c>
      <c r="L27" s="18">
        <v>19</v>
      </c>
      <c r="M27" s="18">
        <v>16</v>
      </c>
      <c r="N27" s="18">
        <v>12</v>
      </c>
      <c r="O27" s="18">
        <v>2.2999999999999998</v>
      </c>
    </row>
    <row r="28" spans="1:15" s="32" customFormat="1" ht="16.149999999999999" customHeight="1">
      <c r="A28" s="140" t="s">
        <v>11</v>
      </c>
      <c r="B28" s="140"/>
      <c r="C28" s="140"/>
      <c r="D28" s="159">
        <f t="shared" ref="D28:F28" si="2">SUM(D25:D27)</f>
        <v>7.9</v>
      </c>
      <c r="E28" s="159">
        <f t="shared" si="2"/>
        <v>7.56</v>
      </c>
      <c r="F28" s="159">
        <f t="shared" si="2"/>
        <v>32.64</v>
      </c>
      <c r="G28" s="159">
        <f>SUM(G25:G27)</f>
        <v>231.9</v>
      </c>
      <c r="H28" s="159"/>
      <c r="I28" s="159"/>
      <c r="J28" s="159"/>
      <c r="K28" s="159"/>
      <c r="L28" s="159"/>
      <c r="M28" s="159"/>
      <c r="N28" s="159"/>
      <c r="O28" s="159"/>
    </row>
    <row r="29" spans="1:15" s="12" customFormat="1" ht="16.149999999999999" customHeight="1">
      <c r="A29" s="140" t="s">
        <v>15</v>
      </c>
      <c r="B29" s="141"/>
      <c r="C29" s="141"/>
      <c r="D29" s="144">
        <f t="shared" ref="D29:F29" si="3">SUM(D8:D13)+SUM(D16:D22)+SUM(D25:D27)</f>
        <v>47.298499999999997</v>
      </c>
      <c r="E29" s="144">
        <f t="shared" si="3"/>
        <v>47.775500000000001</v>
      </c>
      <c r="F29" s="144">
        <f t="shared" si="3"/>
        <v>217.13600000000002</v>
      </c>
      <c r="G29" s="144">
        <f>SUM(G8:G13)+SUM(G16:G22)+SUM(G25:G27)</f>
        <v>1514.93</v>
      </c>
      <c r="H29" s="159"/>
      <c r="I29" s="159"/>
      <c r="J29" s="159"/>
      <c r="K29" s="159"/>
      <c r="L29" s="159"/>
      <c r="M29" s="159"/>
      <c r="N29" s="159"/>
      <c r="O29" s="159"/>
    </row>
    <row r="30" spans="1:15" ht="15.75" thickBot="1"/>
    <row r="31" spans="1:15" ht="26.25" thickBot="1">
      <c r="B31" s="210" t="s">
        <v>74</v>
      </c>
      <c r="C31" s="211"/>
      <c r="D31" s="211"/>
      <c r="E31" s="211"/>
      <c r="F31" s="214" t="s">
        <v>75</v>
      </c>
      <c r="G31" s="215"/>
      <c r="H31" s="216"/>
      <c r="I31" s="41" t="s">
        <v>76</v>
      </c>
    </row>
    <row r="32" spans="1:15" ht="15.75" thickBot="1">
      <c r="B32" s="212"/>
      <c r="C32" s="213"/>
      <c r="D32" s="213"/>
      <c r="E32" s="213"/>
      <c r="F32" s="42" t="s">
        <v>1</v>
      </c>
      <c r="G32" s="42" t="s">
        <v>2</v>
      </c>
      <c r="H32" s="42" t="s">
        <v>3</v>
      </c>
      <c r="I32" s="43"/>
    </row>
    <row r="33" spans="2:12" ht="15.75" thickBot="1">
      <c r="B33" s="217" t="s">
        <v>78</v>
      </c>
      <c r="C33" s="218"/>
      <c r="D33" s="218"/>
      <c r="E33" s="218"/>
      <c r="F33" s="42" t="s">
        <v>79</v>
      </c>
      <c r="G33" s="42" t="s">
        <v>80</v>
      </c>
      <c r="H33" s="42" t="s">
        <v>81</v>
      </c>
      <c r="I33" s="42" t="s">
        <v>82</v>
      </c>
    </row>
    <row r="34" spans="2:12" ht="15.75" thickBot="1">
      <c r="B34" s="217" t="s">
        <v>77</v>
      </c>
      <c r="C34" s="218"/>
      <c r="D34" s="218"/>
      <c r="E34" s="218"/>
      <c r="F34" s="44">
        <f>D29</f>
        <v>47.298499999999997</v>
      </c>
      <c r="G34" s="44">
        <f>E29</f>
        <v>47.775500000000001</v>
      </c>
      <c r="H34" s="44">
        <f>F29</f>
        <v>217.13600000000002</v>
      </c>
      <c r="I34" s="44">
        <f>G29</f>
        <v>1514.93</v>
      </c>
    </row>
    <row r="36" spans="2:12" ht="35.25" customHeight="1">
      <c r="B36" s="249" t="s">
        <v>127</v>
      </c>
      <c r="C36" s="249"/>
      <c r="D36" s="249"/>
      <c r="E36" s="249"/>
      <c r="F36" s="249"/>
      <c r="G36" s="249"/>
      <c r="H36" s="249"/>
    </row>
    <row r="37" spans="2:12" ht="31.5" customHeight="1"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K37" s="15" t="s">
        <v>45</v>
      </c>
      <c r="L37" s="14" t="s">
        <v>58</v>
      </c>
    </row>
    <row r="38" spans="2:12" ht="31.5"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K38" s="15" t="s">
        <v>47</v>
      </c>
      <c r="L38" s="14" t="s">
        <v>87</v>
      </c>
    </row>
    <row r="39" spans="2:12" ht="30"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K39" s="15" t="s">
        <v>49</v>
      </c>
      <c r="L39" s="14" t="s">
        <v>50</v>
      </c>
    </row>
    <row r="40" spans="2:12" ht="63"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  <c r="K40" s="15" t="s">
        <v>51</v>
      </c>
      <c r="L40" s="14" t="s">
        <v>52</v>
      </c>
    </row>
    <row r="41" spans="2:12">
      <c r="B41" s="97" t="s">
        <v>94</v>
      </c>
      <c r="C41" s="252">
        <v>150</v>
      </c>
      <c r="D41" s="253"/>
      <c r="E41" s="252">
        <v>150</v>
      </c>
      <c r="F41" s="253"/>
      <c r="G41" s="98">
        <f>18+10+50+40</f>
        <v>118</v>
      </c>
      <c r="H41" s="98">
        <v>118</v>
      </c>
    </row>
    <row r="42" spans="2:12">
      <c r="B42" s="97" t="s">
        <v>95</v>
      </c>
      <c r="C42" s="252">
        <v>15</v>
      </c>
      <c r="D42" s="253"/>
      <c r="E42" s="252">
        <v>15</v>
      </c>
      <c r="F42" s="253"/>
      <c r="G42" s="98">
        <v>9.6</v>
      </c>
      <c r="H42" s="98">
        <v>9.6</v>
      </c>
    </row>
    <row r="43" spans="2:12">
      <c r="B43" s="99" t="s">
        <v>96</v>
      </c>
      <c r="C43" s="254">
        <v>45</v>
      </c>
      <c r="D43" s="255"/>
      <c r="E43" s="254">
        <v>45</v>
      </c>
      <c r="F43" s="255"/>
      <c r="G43" s="100">
        <f>10+23</f>
        <v>33</v>
      </c>
      <c r="H43" s="100">
        <v>33</v>
      </c>
    </row>
    <row r="44" spans="2:12"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2:12">
      <c r="B45" s="97" t="s">
        <v>98</v>
      </c>
      <c r="C45" s="252" t="s">
        <v>99</v>
      </c>
      <c r="D45" s="253"/>
      <c r="E45" s="256">
        <v>188</v>
      </c>
      <c r="F45" s="257"/>
      <c r="G45" s="98">
        <v>33.25</v>
      </c>
      <c r="H45" s="98">
        <v>25</v>
      </c>
    </row>
    <row r="46" spans="2:12">
      <c r="B46" s="97" t="s">
        <v>100</v>
      </c>
      <c r="C46" s="252">
        <v>350</v>
      </c>
      <c r="D46" s="253"/>
      <c r="E46" s="252" t="s">
        <v>101</v>
      </c>
      <c r="F46" s="253"/>
      <c r="G46" s="98">
        <f>85.6+37.5+12.5+12+142+3+5+6</f>
        <v>303.60000000000002</v>
      </c>
      <c r="H46" s="131">
        <f>67+30+10+10+114+2.5+4+6</f>
        <v>243.5</v>
      </c>
    </row>
    <row r="47" spans="2:12">
      <c r="B47" s="97" t="s">
        <v>102</v>
      </c>
      <c r="C47" s="252">
        <v>200</v>
      </c>
      <c r="D47" s="253"/>
      <c r="E47" s="252" t="s">
        <v>103</v>
      </c>
      <c r="F47" s="253"/>
      <c r="G47" s="98">
        <f>135.7</f>
        <v>135.69999999999999</v>
      </c>
      <c r="H47" s="98">
        <v>125</v>
      </c>
    </row>
    <row r="48" spans="2:12">
      <c r="B48" s="97" t="s">
        <v>104</v>
      </c>
      <c r="C48" s="252">
        <v>15</v>
      </c>
      <c r="D48" s="253"/>
      <c r="E48" s="252">
        <v>15</v>
      </c>
      <c r="F48" s="253"/>
      <c r="G48" s="98">
        <v>5.0999999999999996</v>
      </c>
      <c r="H48" s="98">
        <v>5</v>
      </c>
    </row>
    <row r="49" spans="2:8" ht="25.5">
      <c r="B49" s="97" t="s">
        <v>105</v>
      </c>
      <c r="C49" s="252">
        <v>200</v>
      </c>
      <c r="D49" s="253"/>
      <c r="E49" s="252">
        <v>200</v>
      </c>
      <c r="F49" s="253"/>
      <c r="G49" s="98">
        <v>200</v>
      </c>
      <c r="H49" s="98">
        <v>200</v>
      </c>
    </row>
    <row r="50" spans="2:8">
      <c r="B50" s="97" t="s">
        <v>106</v>
      </c>
      <c r="C50" s="252" t="s">
        <v>107</v>
      </c>
      <c r="D50" s="253"/>
      <c r="E50" s="252">
        <v>70</v>
      </c>
      <c r="F50" s="253"/>
      <c r="G50" s="98">
        <v>40</v>
      </c>
      <c r="H50" s="98">
        <v>25</v>
      </c>
    </row>
    <row r="51" spans="2:8" ht="25.5"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2:8">
      <c r="B52" s="97" t="s">
        <v>110</v>
      </c>
      <c r="C52" s="252">
        <v>60</v>
      </c>
      <c r="D52" s="253"/>
      <c r="E52" s="252">
        <v>58</v>
      </c>
      <c r="F52" s="253"/>
      <c r="G52" s="98">
        <v>90</v>
      </c>
      <c r="H52" s="98">
        <v>66</v>
      </c>
    </row>
    <row r="53" spans="2:8"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2:8">
      <c r="B54" s="97" t="s">
        <v>112</v>
      </c>
      <c r="C54" s="252">
        <v>300</v>
      </c>
      <c r="D54" s="253"/>
      <c r="E54" s="252">
        <v>300</v>
      </c>
      <c r="F54" s="253"/>
      <c r="G54" s="98">
        <f>26+50+100</f>
        <v>176</v>
      </c>
      <c r="H54" s="98">
        <v>176</v>
      </c>
    </row>
    <row r="55" spans="2:8" ht="25.5">
      <c r="B55" s="97" t="s">
        <v>113</v>
      </c>
      <c r="C55" s="252">
        <v>150</v>
      </c>
      <c r="D55" s="253"/>
      <c r="E55" s="252">
        <v>150</v>
      </c>
      <c r="F55" s="253"/>
      <c r="G55" s="98">
        <v>206</v>
      </c>
      <c r="H55" s="98">
        <v>200</v>
      </c>
    </row>
    <row r="56" spans="2:8">
      <c r="B56" s="97" t="s">
        <v>114</v>
      </c>
      <c r="C56" s="252">
        <v>50</v>
      </c>
      <c r="D56" s="253"/>
      <c r="E56" s="252">
        <v>50</v>
      </c>
      <c r="F56" s="253"/>
      <c r="G56" s="98"/>
      <c r="H56" s="98"/>
    </row>
    <row r="57" spans="2:8"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2:8">
      <c r="B58" s="97" t="s">
        <v>116</v>
      </c>
      <c r="C58" s="252">
        <v>10</v>
      </c>
      <c r="D58" s="253"/>
      <c r="E58" s="252">
        <v>10</v>
      </c>
      <c r="F58" s="253"/>
      <c r="G58" s="103">
        <v>22</v>
      </c>
      <c r="H58" s="103">
        <v>22</v>
      </c>
    </row>
    <row r="59" spans="2:8">
      <c r="B59" s="97" t="s">
        <v>117</v>
      </c>
      <c r="C59" s="252">
        <v>30</v>
      </c>
      <c r="D59" s="253"/>
      <c r="E59" s="252">
        <v>30</v>
      </c>
      <c r="F59" s="253"/>
      <c r="G59" s="98">
        <v>20</v>
      </c>
      <c r="H59" s="98">
        <v>20</v>
      </c>
    </row>
    <row r="60" spans="2:8">
      <c r="B60" s="97" t="s">
        <v>118</v>
      </c>
      <c r="C60" s="252">
        <v>15</v>
      </c>
      <c r="D60" s="253"/>
      <c r="E60" s="252">
        <v>15</v>
      </c>
      <c r="F60" s="253"/>
      <c r="G60" s="98">
        <f>6+10+5+2+4</f>
        <v>27</v>
      </c>
      <c r="H60" s="98">
        <v>27</v>
      </c>
    </row>
    <row r="61" spans="2:8">
      <c r="B61" s="97" t="s">
        <v>119</v>
      </c>
      <c r="C61" s="252" t="s">
        <v>120</v>
      </c>
      <c r="D61" s="253"/>
      <c r="E61" s="252">
        <v>40</v>
      </c>
      <c r="F61" s="253"/>
      <c r="G61" s="98">
        <v>3</v>
      </c>
      <c r="H61" s="98">
        <v>3</v>
      </c>
    </row>
    <row r="62" spans="2:8">
      <c r="B62" s="97" t="s">
        <v>121</v>
      </c>
      <c r="C62" s="252">
        <v>40</v>
      </c>
      <c r="D62" s="253"/>
      <c r="E62" s="256">
        <v>40</v>
      </c>
      <c r="F62" s="257"/>
      <c r="G62" s="98">
        <f>3+4+3+20+1</f>
        <v>31</v>
      </c>
      <c r="H62" s="98">
        <v>31</v>
      </c>
    </row>
    <row r="63" spans="2:8">
      <c r="B63" s="97" t="s">
        <v>122</v>
      </c>
      <c r="C63" s="256">
        <v>10</v>
      </c>
      <c r="D63" s="257"/>
      <c r="E63" s="252">
        <v>10</v>
      </c>
      <c r="F63" s="253"/>
      <c r="G63" s="98">
        <v>20</v>
      </c>
      <c r="H63" s="98">
        <v>20</v>
      </c>
    </row>
    <row r="64" spans="2:8">
      <c r="B64" s="97" t="s">
        <v>123</v>
      </c>
      <c r="C64" s="252">
        <v>0.4</v>
      </c>
      <c r="D64" s="253"/>
      <c r="E64" s="252">
        <v>0.4</v>
      </c>
      <c r="F64" s="253"/>
      <c r="G64" s="98"/>
      <c r="H64" s="98"/>
    </row>
    <row r="65" spans="2:8"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2:8">
      <c r="B66" s="97" t="s">
        <v>125</v>
      </c>
      <c r="C66" s="252">
        <v>1</v>
      </c>
      <c r="D66" s="253"/>
      <c r="E66" s="252">
        <v>1</v>
      </c>
      <c r="F66" s="253"/>
      <c r="G66" s="98"/>
      <c r="H66" s="98"/>
    </row>
    <row r="67" spans="2:8">
      <c r="B67" s="97" t="s">
        <v>126</v>
      </c>
      <c r="C67" s="252">
        <v>5</v>
      </c>
      <c r="D67" s="253"/>
      <c r="E67" s="252">
        <v>5</v>
      </c>
      <c r="F67" s="253"/>
      <c r="G67" s="98">
        <v>3</v>
      </c>
      <c r="H67" s="98">
        <v>3</v>
      </c>
    </row>
    <row r="68" spans="2:8">
      <c r="B68" s="20"/>
      <c r="C68" s="20"/>
      <c r="D68" s="20"/>
      <c r="E68" s="20"/>
      <c r="F68" s="20"/>
      <c r="G68" s="20"/>
      <c r="H68" s="20"/>
    </row>
  </sheetData>
  <sheetProtection formatCells="0" formatColumns="0" formatRows="0" insertColumns="0" insertRows="0" insertHyperlinks="0" deleteColumns="0" deleteRows="0" sort="0" autoFilter="0" pivotTables="0"/>
  <mergeCells count="82">
    <mergeCell ref="E44:F44"/>
    <mergeCell ref="E43:F43"/>
    <mergeCell ref="E42:F42"/>
    <mergeCell ref="E41:F41"/>
    <mergeCell ref="E40:F40"/>
    <mergeCell ref="E49:F49"/>
    <mergeCell ref="E48:F48"/>
    <mergeCell ref="E47:F47"/>
    <mergeCell ref="E46:F46"/>
    <mergeCell ref="E45:F45"/>
    <mergeCell ref="E54:F54"/>
    <mergeCell ref="E53:F53"/>
    <mergeCell ref="E52:F52"/>
    <mergeCell ref="E51:F51"/>
    <mergeCell ref="E50:F50"/>
    <mergeCell ref="E59:F59"/>
    <mergeCell ref="E58:F58"/>
    <mergeCell ref="E57:F57"/>
    <mergeCell ref="E56:F56"/>
    <mergeCell ref="E55:F55"/>
    <mergeCell ref="E64:F64"/>
    <mergeCell ref="E63:F63"/>
    <mergeCell ref="E62:F62"/>
    <mergeCell ref="E61:F61"/>
    <mergeCell ref="E60:F60"/>
    <mergeCell ref="C65:D65"/>
    <mergeCell ref="C66:D66"/>
    <mergeCell ref="C67:D67"/>
    <mergeCell ref="E67:F67"/>
    <mergeCell ref="E66:F66"/>
    <mergeCell ref="E65:F65"/>
    <mergeCell ref="C60:D60"/>
    <mergeCell ref="C61:D61"/>
    <mergeCell ref="C62:D62"/>
    <mergeCell ref="C64:D64"/>
    <mergeCell ref="C63:D63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9:D49"/>
    <mergeCell ref="C48:D48"/>
    <mergeCell ref="C40:D40"/>
    <mergeCell ref="C41:D41"/>
    <mergeCell ref="C42:D42"/>
    <mergeCell ref="C43:D43"/>
    <mergeCell ref="C44:D44"/>
    <mergeCell ref="B36:H36"/>
    <mergeCell ref="C37:F37"/>
    <mergeCell ref="B38:B39"/>
    <mergeCell ref="C38:D38"/>
    <mergeCell ref="E38:F38"/>
    <mergeCell ref="G37:H37"/>
    <mergeCell ref="E39:F39"/>
    <mergeCell ref="C39:D39"/>
    <mergeCell ref="B31:E32"/>
    <mergeCell ref="F31:H31"/>
    <mergeCell ref="B33:E33"/>
    <mergeCell ref="B34:E34"/>
    <mergeCell ref="A7:O7"/>
    <mergeCell ref="A15:O15"/>
    <mergeCell ref="A24:O24"/>
    <mergeCell ref="A8:A9"/>
    <mergeCell ref="A10:A12"/>
    <mergeCell ref="D11:O12"/>
    <mergeCell ref="D9:O9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4" fitToWidth="2" fitToHeight="2" orientation="landscape" r:id="rId1"/>
  <rowBreaks count="1" manualBreakCount="1">
    <brk id="3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AA73"/>
  <sheetViews>
    <sheetView view="pageBreakPreview" topLeftCell="A37" zoomScale="80" zoomScaleSheetLayoutView="80" workbookViewId="0">
      <selection activeCell="G40" sqref="G40"/>
    </sheetView>
  </sheetViews>
  <sheetFormatPr defaultRowHeight="15"/>
  <cols>
    <col min="2" max="2" width="37.140625" bestFit="1" customWidth="1"/>
    <col min="6" max="6" width="10.28515625" customWidth="1"/>
    <col min="7" max="7" width="20.42578125" customWidth="1"/>
    <col min="8" max="8" width="11.42578125" customWidth="1"/>
    <col min="9" max="9" width="12.140625" customWidth="1"/>
    <col min="10" max="10" width="14.28515625" customWidth="1"/>
    <col min="12" max="13" width="10" bestFit="1" customWidth="1"/>
  </cols>
  <sheetData>
    <row r="1" spans="1:27" ht="15.75">
      <c r="A1" s="15" t="s">
        <v>45</v>
      </c>
      <c r="B1" s="14" t="s">
        <v>60</v>
      </c>
    </row>
    <row r="2" spans="1:27" ht="22.5" customHeight="1">
      <c r="A2" s="15" t="s">
        <v>47</v>
      </c>
      <c r="B2" s="14" t="s">
        <v>87</v>
      </c>
    </row>
    <row r="3" spans="1:27" ht="15.75">
      <c r="A3" s="15" t="s">
        <v>49</v>
      </c>
      <c r="B3" s="14" t="s">
        <v>50</v>
      </c>
    </row>
    <row r="4" spans="1:27" ht="47.25" customHeight="1">
      <c r="A4" s="15" t="s">
        <v>51</v>
      </c>
      <c r="B4" s="14" t="s">
        <v>52</v>
      </c>
    </row>
    <row r="5" spans="1:27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27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27" s="12" customFormat="1" ht="16.149999999999999" customHeight="1">
      <c r="A7" s="125"/>
      <c r="B7" s="64"/>
      <c r="C7" s="64"/>
      <c r="D7" s="64"/>
      <c r="E7" s="64"/>
      <c r="F7" s="64"/>
      <c r="G7" s="64" t="s">
        <v>42</v>
      </c>
      <c r="H7" s="64"/>
      <c r="I7" s="64"/>
      <c r="J7" s="64"/>
      <c r="K7" s="64"/>
      <c r="L7" s="64"/>
      <c r="M7" s="64"/>
      <c r="N7" s="64"/>
      <c r="O7" s="64"/>
    </row>
    <row r="8" spans="1:27" s="12" customFormat="1" ht="25.5">
      <c r="A8" s="9">
        <v>182</v>
      </c>
      <c r="B8" s="10" t="s">
        <v>155</v>
      </c>
      <c r="C8" s="9">
        <v>220</v>
      </c>
      <c r="D8" s="174">
        <v>5.0999999999999996</v>
      </c>
      <c r="E8" s="174">
        <v>10.72</v>
      </c>
      <c r="F8" s="174">
        <v>33.42</v>
      </c>
      <c r="G8" s="175">
        <v>251</v>
      </c>
      <c r="H8" s="174">
        <v>0.06</v>
      </c>
      <c r="I8" s="174">
        <v>1.17</v>
      </c>
      <c r="J8" s="174">
        <v>58</v>
      </c>
      <c r="K8" s="174">
        <v>0.21</v>
      </c>
      <c r="L8" s="174">
        <v>130.09</v>
      </c>
      <c r="M8" s="174">
        <v>138.13999999999999</v>
      </c>
      <c r="N8" s="174">
        <v>30.12</v>
      </c>
      <c r="O8" s="174">
        <v>0.47</v>
      </c>
    </row>
    <row r="9" spans="1:27" s="84" customFormat="1">
      <c r="A9" s="228">
        <v>2</v>
      </c>
      <c r="B9" s="10" t="s">
        <v>150</v>
      </c>
      <c r="C9" s="119">
        <v>60</v>
      </c>
      <c r="D9" s="123">
        <v>3.7</v>
      </c>
      <c r="E9" s="123">
        <v>8.5</v>
      </c>
      <c r="F9" s="123">
        <v>26.25</v>
      </c>
      <c r="G9" s="176">
        <v>155</v>
      </c>
      <c r="H9" s="123">
        <v>3.4000000000000002E-2</v>
      </c>
      <c r="I9" s="123"/>
      <c r="J9" s="123">
        <v>0.13</v>
      </c>
      <c r="K9" s="123">
        <v>0.44</v>
      </c>
      <c r="L9" s="123">
        <v>8.4</v>
      </c>
      <c r="M9" s="123">
        <v>22.5</v>
      </c>
      <c r="N9" s="123">
        <v>4.2</v>
      </c>
      <c r="O9" s="123">
        <v>0.35</v>
      </c>
      <c r="P9" s="116"/>
      <c r="Q9" s="116"/>
      <c r="R9" s="116"/>
      <c r="S9" s="116"/>
    </row>
    <row r="10" spans="1:27" s="80" customFormat="1">
      <c r="A10" s="229"/>
      <c r="B10" s="56" t="s">
        <v>151</v>
      </c>
      <c r="C10" s="120">
        <v>50</v>
      </c>
      <c r="D10" s="279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1"/>
      <c r="P10" s="104"/>
      <c r="Q10" s="104"/>
      <c r="R10" s="117"/>
      <c r="S10" s="117"/>
    </row>
    <row r="11" spans="1:27" s="83" customFormat="1">
      <c r="A11" s="230"/>
      <c r="B11" s="54" t="s">
        <v>117</v>
      </c>
      <c r="C11" s="120">
        <v>10</v>
      </c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104"/>
      <c r="Q11" s="104"/>
      <c r="R11" s="118"/>
      <c r="S11" s="118"/>
    </row>
    <row r="12" spans="1:27" s="16" customFormat="1">
      <c r="A12" s="130">
        <v>382</v>
      </c>
      <c r="B12" s="10" t="s">
        <v>56</v>
      </c>
      <c r="C12" s="130">
        <v>200</v>
      </c>
      <c r="D12" s="18">
        <f>20.39/10*2</f>
        <v>4.0780000000000003</v>
      </c>
      <c r="E12" s="18">
        <f>17.72/10*2</f>
        <v>3.5439999999999996</v>
      </c>
      <c r="F12" s="18">
        <f>87.89/10*2</f>
        <v>17.577999999999999</v>
      </c>
      <c r="G12" s="18">
        <f>593/10*2</f>
        <v>118.6</v>
      </c>
      <c r="H12" s="18">
        <f>0.28/10*2</f>
        <v>5.6000000000000008E-2</v>
      </c>
      <c r="I12" s="18">
        <f>7.94/10*2</f>
        <v>1.5880000000000001</v>
      </c>
      <c r="J12" s="18">
        <f>122/10*2</f>
        <v>24.4</v>
      </c>
      <c r="K12" s="18"/>
      <c r="L12" s="18">
        <f>761.1/10*2</f>
        <v>152.22</v>
      </c>
      <c r="M12" s="18">
        <f>622.8/10*2</f>
        <v>124.55999999999999</v>
      </c>
      <c r="N12" s="18">
        <f>106.7/10*2</f>
        <v>21.34</v>
      </c>
      <c r="O12" s="18">
        <f>2.39/10*2</f>
        <v>0.47800000000000004</v>
      </c>
    </row>
    <row r="13" spans="1:27" s="32" customFormat="1" ht="16.149999999999999" customHeight="1">
      <c r="A13" s="140" t="s">
        <v>11</v>
      </c>
      <c r="B13" s="141"/>
      <c r="C13" s="141"/>
      <c r="D13" s="159">
        <f t="shared" ref="D13:F13" si="0">SUM(D8:D12)</f>
        <v>12.878</v>
      </c>
      <c r="E13" s="159">
        <f t="shared" si="0"/>
        <v>22.763999999999999</v>
      </c>
      <c r="F13" s="159">
        <f t="shared" si="0"/>
        <v>77.248000000000005</v>
      </c>
      <c r="G13" s="159">
        <f>SUM(G8:G12)</f>
        <v>524.6</v>
      </c>
      <c r="H13" s="159"/>
      <c r="I13" s="159"/>
      <c r="J13" s="159"/>
      <c r="K13" s="159"/>
      <c r="L13" s="159"/>
      <c r="M13" s="159"/>
      <c r="N13" s="159"/>
      <c r="O13" s="159"/>
    </row>
    <row r="14" spans="1:27" s="32" customFormat="1" ht="18.75">
      <c r="A14" s="297" t="s">
        <v>23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70"/>
    </row>
    <row r="15" spans="1:27" s="16" customFormat="1" ht="25.5">
      <c r="A15" s="130">
        <v>67</v>
      </c>
      <c r="B15" s="10" t="s">
        <v>130</v>
      </c>
      <c r="C15" s="130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s="16" customFormat="1">
      <c r="A17" s="17">
        <v>288</v>
      </c>
      <c r="B17" s="10" t="s">
        <v>139</v>
      </c>
      <c r="C17" s="17">
        <v>110</v>
      </c>
      <c r="D17" s="18">
        <f>11.73*2</f>
        <v>23.46</v>
      </c>
      <c r="E17" s="18">
        <f>12.91*2</f>
        <v>25.82</v>
      </c>
      <c r="F17" s="18">
        <f>0.25*2</f>
        <v>0.5</v>
      </c>
      <c r="G17" s="18">
        <f>164*2</f>
        <v>328</v>
      </c>
      <c r="H17" s="18">
        <f>0.02*2</f>
        <v>0.04</v>
      </c>
      <c r="I17" s="18">
        <f>11.75*2</f>
        <v>23.5</v>
      </c>
      <c r="J17" s="18">
        <f>48.1*2</f>
        <v>96.2</v>
      </c>
      <c r="K17" s="18">
        <f>0.21*2</f>
        <v>0.42</v>
      </c>
      <c r="L17" s="18">
        <f>28*2</f>
        <v>56</v>
      </c>
      <c r="M17" s="18">
        <f>83.55*2</f>
        <v>167.1</v>
      </c>
      <c r="N17" s="18">
        <f>10.14*2</f>
        <v>20.28</v>
      </c>
      <c r="O17" s="18">
        <f>0.91*2</f>
        <v>1.82</v>
      </c>
    </row>
    <row r="18" spans="1:16" s="16" customFormat="1">
      <c r="A18" s="17">
        <v>312</v>
      </c>
      <c r="B18" s="10" t="s">
        <v>13</v>
      </c>
      <c r="C18" s="17">
        <v>150</v>
      </c>
      <c r="D18" s="18">
        <f>20.473/100*15</f>
        <v>3.0709499999999998</v>
      </c>
      <c r="E18" s="18">
        <f>32.01/100/15</f>
        <v>2.1340000000000001E-2</v>
      </c>
      <c r="F18" s="18">
        <f>136.26/100*15</f>
        <v>20.438999999999997</v>
      </c>
      <c r="G18" s="18">
        <f>915/100*15</f>
        <v>137.25</v>
      </c>
      <c r="H18" s="18">
        <f>0.93/100*15</f>
        <v>0.13950000000000001</v>
      </c>
      <c r="I18" s="18">
        <f>121.07/100*15</f>
        <v>18.160499999999999</v>
      </c>
      <c r="J18" s="18"/>
      <c r="K18" s="18">
        <f>1.21/100*15</f>
        <v>0.18149999999999999</v>
      </c>
      <c r="L18" s="18">
        <f>246.5/100*15</f>
        <v>36.974999999999994</v>
      </c>
      <c r="M18" s="18">
        <f>577.3/100*15</f>
        <v>86.594999999999999</v>
      </c>
      <c r="N18" s="18">
        <f>185/100*15</f>
        <v>27.75</v>
      </c>
      <c r="O18" s="18">
        <f>6.73/100*15</f>
        <v>1.0095000000000001</v>
      </c>
    </row>
    <row r="19" spans="1:16" s="16" customFormat="1">
      <c r="A19" s="173">
        <v>388</v>
      </c>
      <c r="B19" s="10" t="s">
        <v>59</v>
      </c>
      <c r="C19" s="173">
        <v>200</v>
      </c>
      <c r="D19" s="18">
        <f>3.39/5</f>
        <v>0.67800000000000005</v>
      </c>
      <c r="E19" s="18">
        <f>1.39/5</f>
        <v>0.27799999999999997</v>
      </c>
      <c r="F19" s="18">
        <f>103.8/5</f>
        <v>20.759999999999998</v>
      </c>
      <c r="G19" s="18">
        <f>441/5</f>
        <v>88.2</v>
      </c>
      <c r="H19" s="18">
        <f>0.06/5</f>
        <v>1.2E-2</v>
      </c>
      <c r="I19" s="18">
        <f>500/5</f>
        <v>100</v>
      </c>
      <c r="J19" s="18"/>
      <c r="K19" s="18">
        <f>3.8/5</f>
        <v>0.76</v>
      </c>
      <c r="L19" s="18">
        <f>106.7/5</f>
        <v>21.34</v>
      </c>
      <c r="M19" s="18">
        <f>17.2/5</f>
        <v>3.44</v>
      </c>
      <c r="N19" s="18">
        <f>17.2/5</f>
        <v>3.44</v>
      </c>
      <c r="O19" s="18">
        <f>3.17/5</f>
        <v>0.63400000000000001</v>
      </c>
    </row>
    <row r="20" spans="1:16" s="16" customFormat="1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 s="16" customFormat="1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32" customFormat="1" ht="16.149999999999999" customHeight="1">
      <c r="A22" s="140" t="s">
        <v>11</v>
      </c>
      <c r="B22" s="141"/>
      <c r="C22" s="141"/>
      <c r="D22" s="159">
        <f t="shared" ref="D22:F22" si="1">SUM(D15:D21)</f>
        <v>37.376450000000006</v>
      </c>
      <c r="E22" s="159">
        <f t="shared" si="1"/>
        <v>40.419340000000005</v>
      </c>
      <c r="F22" s="159">
        <f t="shared" si="1"/>
        <v>103.75650000000002</v>
      </c>
      <c r="G22" s="159">
        <f>SUM(G15:G21)</f>
        <v>1008.0300000000001</v>
      </c>
      <c r="H22" s="159"/>
      <c r="I22" s="159"/>
      <c r="J22" s="159"/>
      <c r="K22" s="159"/>
      <c r="L22" s="159"/>
      <c r="M22" s="159"/>
      <c r="N22" s="159"/>
      <c r="O22" s="159"/>
    </row>
    <row r="23" spans="1:16" s="32" customFormat="1" ht="16.149999999999999" customHeight="1">
      <c r="A23" s="325" t="s">
        <v>22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7"/>
      <c r="P23" s="70"/>
    </row>
    <row r="24" spans="1:16" s="32" customFormat="1" ht="15.75" customHeight="1">
      <c r="A24" s="17">
        <v>429</v>
      </c>
      <c r="B24" s="10" t="s">
        <v>62</v>
      </c>
      <c r="C24" s="17">
        <v>50</v>
      </c>
      <c r="D24" s="18">
        <v>3.9</v>
      </c>
      <c r="E24" s="18">
        <v>3.06</v>
      </c>
      <c r="F24" s="18">
        <v>23.9</v>
      </c>
      <c r="G24" s="18">
        <v>139</v>
      </c>
      <c r="H24" s="18">
        <v>7.0000000000000007E-2</v>
      </c>
      <c r="I24" s="18"/>
      <c r="J24" s="124">
        <v>3</v>
      </c>
      <c r="K24" s="18">
        <v>1.41</v>
      </c>
      <c r="L24" s="18">
        <v>11.3</v>
      </c>
      <c r="M24" s="18">
        <v>39.200000000000003</v>
      </c>
      <c r="N24" s="18">
        <v>15.2</v>
      </c>
      <c r="O24" s="18">
        <v>0.73</v>
      </c>
    </row>
    <row r="25" spans="1:16" s="31" customFormat="1" ht="12.75">
      <c r="A25" s="17">
        <v>385</v>
      </c>
      <c r="B25" s="10" t="s">
        <v>54</v>
      </c>
      <c r="C25" s="17">
        <v>200</v>
      </c>
      <c r="D25" s="18">
        <v>5.8</v>
      </c>
      <c r="E25" s="18">
        <v>5</v>
      </c>
      <c r="F25" s="18">
        <v>9.6</v>
      </c>
      <c r="G25" s="18">
        <v>107</v>
      </c>
      <c r="H25" s="18">
        <v>0.08</v>
      </c>
      <c r="I25" s="18">
        <v>2.6</v>
      </c>
      <c r="J25" s="18">
        <v>40</v>
      </c>
      <c r="K25" s="18">
        <v>20</v>
      </c>
      <c r="L25" s="18">
        <v>240</v>
      </c>
      <c r="M25" s="18">
        <v>180</v>
      </c>
      <c r="N25" s="18">
        <v>28</v>
      </c>
      <c r="O25" s="18">
        <v>0.2</v>
      </c>
    </row>
    <row r="26" spans="1:16" s="31" customFormat="1" ht="18.75" customHeight="1">
      <c r="A26" s="173">
        <v>338</v>
      </c>
      <c r="B26" s="10" t="s">
        <v>17</v>
      </c>
      <c r="C26" s="173">
        <v>100</v>
      </c>
      <c r="D26" s="18">
        <v>0.4</v>
      </c>
      <c r="E26" s="18">
        <v>0.4</v>
      </c>
      <c r="F26" s="18">
        <v>9.8000000000000007</v>
      </c>
      <c r="G26" s="18">
        <v>47</v>
      </c>
      <c r="H26" s="18">
        <v>0.03</v>
      </c>
      <c r="I26" s="18">
        <v>10</v>
      </c>
      <c r="J26" s="18"/>
      <c r="K26" s="18">
        <v>0.2</v>
      </c>
      <c r="L26" s="18">
        <v>16</v>
      </c>
      <c r="M26" s="18">
        <v>11</v>
      </c>
      <c r="N26" s="18">
        <v>9</v>
      </c>
      <c r="O26" s="18">
        <v>2.2000000000000002</v>
      </c>
    </row>
    <row r="27" spans="1:16" s="32" customFormat="1" ht="16.149999999999999" customHeight="1">
      <c r="A27" s="140" t="s">
        <v>11</v>
      </c>
      <c r="B27" s="141"/>
      <c r="C27" s="141"/>
      <c r="D27" s="159">
        <f t="shared" ref="D27:F27" si="2">SUM(D24:D26)</f>
        <v>10.1</v>
      </c>
      <c r="E27" s="159">
        <f t="shared" si="2"/>
        <v>8.4600000000000009</v>
      </c>
      <c r="F27" s="159">
        <f t="shared" si="2"/>
        <v>43.3</v>
      </c>
      <c r="G27" s="159">
        <f>SUM(G24:G26)</f>
        <v>293</v>
      </c>
      <c r="H27" s="159"/>
      <c r="I27" s="159"/>
      <c r="J27" s="159"/>
      <c r="K27" s="159"/>
      <c r="L27" s="159"/>
      <c r="M27" s="159"/>
      <c r="N27" s="159"/>
      <c r="O27" s="159"/>
    </row>
    <row r="28" spans="1:16" s="32" customFormat="1" ht="16.149999999999999" customHeight="1">
      <c r="A28" s="140" t="s">
        <v>15</v>
      </c>
      <c r="B28" s="141"/>
      <c r="C28" s="141"/>
      <c r="D28" s="144">
        <f t="shared" ref="D28:F28" si="3">SUM(D8:D12)+SUM(D15:D21)+SUM(D24:D26)</f>
        <v>60.354450000000007</v>
      </c>
      <c r="E28" s="144">
        <f t="shared" si="3"/>
        <v>71.643339999999995</v>
      </c>
      <c r="F28" s="144">
        <f t="shared" si="3"/>
        <v>224.30450000000002</v>
      </c>
      <c r="G28" s="144">
        <f>SUM(G8:G12)+SUM(G15:G21)+SUM(G24:G26)</f>
        <v>1825.63</v>
      </c>
      <c r="H28" s="162"/>
      <c r="I28" s="162"/>
      <c r="J28" s="162"/>
      <c r="K28" s="162"/>
      <c r="L28" s="162"/>
      <c r="M28" s="170"/>
      <c r="N28" s="170"/>
      <c r="O28" s="161"/>
    </row>
    <row r="29" spans="1:16" ht="15.75" thickBot="1">
      <c r="G29" s="57"/>
    </row>
    <row r="30" spans="1:16" ht="26.25" thickBot="1">
      <c r="B30" s="210" t="s">
        <v>74</v>
      </c>
      <c r="C30" s="211"/>
      <c r="D30" s="211"/>
      <c r="E30" s="211"/>
      <c r="F30" s="214" t="s">
        <v>75</v>
      </c>
      <c r="G30" s="215"/>
      <c r="H30" s="216"/>
      <c r="I30" s="41" t="s">
        <v>76</v>
      </c>
    </row>
    <row r="31" spans="1:16" ht="15.75" thickBot="1">
      <c r="B31" s="212"/>
      <c r="C31" s="213"/>
      <c r="D31" s="213"/>
      <c r="E31" s="213"/>
      <c r="F31" s="42" t="s">
        <v>1</v>
      </c>
      <c r="G31" s="42" t="s">
        <v>2</v>
      </c>
      <c r="H31" s="42" t="s">
        <v>3</v>
      </c>
      <c r="I31" s="43"/>
    </row>
    <row r="32" spans="1:16" ht="15.75" thickBot="1">
      <c r="B32" s="217" t="s">
        <v>78</v>
      </c>
      <c r="C32" s="218"/>
      <c r="D32" s="218"/>
      <c r="E32" s="218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>
      <c r="B33" s="217" t="s">
        <v>77</v>
      </c>
      <c r="C33" s="218"/>
      <c r="D33" s="218"/>
      <c r="E33" s="218"/>
      <c r="F33" s="44">
        <f>D28</f>
        <v>60.354450000000007</v>
      </c>
      <c r="G33" s="44">
        <f>E28</f>
        <v>71.643339999999995</v>
      </c>
      <c r="H33" s="44">
        <f>F28</f>
        <v>224.30450000000002</v>
      </c>
      <c r="I33" s="44">
        <f>G28</f>
        <v>1825.63</v>
      </c>
    </row>
    <row r="35" spans="2:11" ht="41.25" customHeight="1">
      <c r="B35" s="249" t="s">
        <v>127</v>
      </c>
      <c r="C35" s="249"/>
      <c r="D35" s="249"/>
      <c r="E35" s="249"/>
      <c r="F35" s="249"/>
      <c r="G35" s="249"/>
      <c r="H35" s="249"/>
    </row>
    <row r="36" spans="2:11" ht="33.75" customHeight="1">
      <c r="B36" s="96" t="s">
        <v>89</v>
      </c>
      <c r="C36" s="244" t="s">
        <v>90</v>
      </c>
      <c r="D36" s="244"/>
      <c r="E36" s="244"/>
      <c r="F36" s="244"/>
      <c r="G36" s="250" t="s">
        <v>146</v>
      </c>
      <c r="H36" s="251"/>
      <c r="J36" s="15" t="s">
        <v>45</v>
      </c>
      <c r="K36" s="14" t="s">
        <v>60</v>
      </c>
    </row>
    <row r="37" spans="2:11" ht="15.75">
      <c r="B37" s="247"/>
      <c r="C37" s="245" t="s">
        <v>91</v>
      </c>
      <c r="D37" s="246"/>
      <c r="E37" s="245" t="s">
        <v>92</v>
      </c>
      <c r="F37" s="246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>
      <c r="B38" s="248"/>
      <c r="C38" s="245" t="s">
        <v>52</v>
      </c>
      <c r="D38" s="246"/>
      <c r="E38" s="245" t="s">
        <v>52</v>
      </c>
      <c r="F38" s="246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51.75" customHeight="1">
      <c r="B39" s="97" t="s">
        <v>93</v>
      </c>
      <c r="C39" s="252">
        <v>80</v>
      </c>
      <c r="D39" s="253"/>
      <c r="E39" s="252">
        <v>80</v>
      </c>
      <c r="F39" s="253"/>
      <c r="G39" s="98">
        <v>40</v>
      </c>
      <c r="H39" s="98">
        <v>40</v>
      </c>
      <c r="J39" s="15" t="s">
        <v>51</v>
      </c>
      <c r="K39" s="14" t="s">
        <v>52</v>
      </c>
    </row>
    <row r="40" spans="2:11">
      <c r="B40" s="97" t="s">
        <v>94</v>
      </c>
      <c r="C40" s="252">
        <v>150</v>
      </c>
      <c r="D40" s="253"/>
      <c r="E40" s="252">
        <v>150</v>
      </c>
      <c r="F40" s="253"/>
      <c r="G40" s="98">
        <v>90</v>
      </c>
      <c r="H40" s="98">
        <v>90</v>
      </c>
    </row>
    <row r="41" spans="2:11" ht="36.75" customHeight="1">
      <c r="B41" s="97" t="s">
        <v>95</v>
      </c>
      <c r="C41" s="252">
        <v>15</v>
      </c>
      <c r="D41" s="253"/>
      <c r="E41" s="252">
        <v>15</v>
      </c>
      <c r="F41" s="253"/>
      <c r="G41" s="98">
        <v>35.700000000000003</v>
      </c>
      <c r="H41" s="98">
        <v>35.700000000000003</v>
      </c>
    </row>
    <row r="42" spans="2:11" ht="21.75" customHeight="1">
      <c r="B42" s="99" t="s">
        <v>96</v>
      </c>
      <c r="C42" s="254">
        <v>45</v>
      </c>
      <c r="D42" s="255"/>
      <c r="E42" s="254">
        <v>45</v>
      </c>
      <c r="F42" s="255"/>
      <c r="G42" s="100">
        <v>31</v>
      </c>
      <c r="H42" s="100">
        <v>31</v>
      </c>
    </row>
    <row r="43" spans="2:11">
      <c r="B43" s="97" t="s">
        <v>97</v>
      </c>
      <c r="C43" s="252">
        <v>15</v>
      </c>
      <c r="D43" s="253"/>
      <c r="E43" s="252">
        <v>15</v>
      </c>
      <c r="F43" s="253"/>
      <c r="G43" s="98">
        <v>10</v>
      </c>
      <c r="H43" s="98">
        <v>10</v>
      </c>
    </row>
    <row r="44" spans="2:11">
      <c r="B44" s="97" t="s">
        <v>98</v>
      </c>
      <c r="C44" s="252" t="s">
        <v>99</v>
      </c>
      <c r="D44" s="253"/>
      <c r="E44" s="256">
        <v>188</v>
      </c>
      <c r="F44" s="257"/>
      <c r="G44" s="98">
        <f>28.9+53.4+171</f>
        <v>253.3</v>
      </c>
      <c r="H44" s="98">
        <f>21+40+129</f>
        <v>190</v>
      </c>
    </row>
    <row r="45" spans="2:11">
      <c r="B45" s="97" t="s">
        <v>100</v>
      </c>
      <c r="C45" s="252">
        <v>350</v>
      </c>
      <c r="D45" s="253"/>
      <c r="E45" s="252" t="s">
        <v>101</v>
      </c>
      <c r="F45" s="253"/>
      <c r="G45" s="98">
        <f>19.1+12.6+18.8+21.4+18.8+10+9.6+2+5+3</f>
        <v>120.3</v>
      </c>
      <c r="H45" s="131">
        <f>15+10+7.5+15+15+8+8+4+4+2</f>
        <v>88.5</v>
      </c>
    </row>
    <row r="46" spans="2:11">
      <c r="B46" s="97" t="s">
        <v>102</v>
      </c>
      <c r="C46" s="252">
        <v>200</v>
      </c>
      <c r="D46" s="253"/>
      <c r="E46" s="252" t="s">
        <v>103</v>
      </c>
      <c r="F46" s="253"/>
      <c r="G46" s="98">
        <v>100</v>
      </c>
      <c r="H46" s="98">
        <v>100</v>
      </c>
    </row>
    <row r="47" spans="2:11">
      <c r="B47" s="97" t="s">
        <v>104</v>
      </c>
      <c r="C47" s="252">
        <v>15</v>
      </c>
      <c r="D47" s="253"/>
      <c r="E47" s="252">
        <v>15</v>
      </c>
      <c r="F47" s="253"/>
      <c r="G47" s="98">
        <v>20.100000000000001</v>
      </c>
      <c r="H47" s="98">
        <v>20.100000000000001</v>
      </c>
    </row>
    <row r="48" spans="2:11" ht="25.5">
      <c r="B48" s="97" t="s">
        <v>105</v>
      </c>
      <c r="C48" s="252">
        <v>200</v>
      </c>
      <c r="D48" s="253"/>
      <c r="E48" s="252">
        <v>200</v>
      </c>
      <c r="F48" s="253"/>
      <c r="G48" s="98"/>
      <c r="H48" s="98"/>
    </row>
    <row r="49" spans="2:8">
      <c r="B49" s="97" t="s">
        <v>106</v>
      </c>
      <c r="C49" s="252" t="s">
        <v>107</v>
      </c>
      <c r="D49" s="253"/>
      <c r="E49" s="252">
        <v>70</v>
      </c>
      <c r="F49" s="253"/>
      <c r="G49" s="98"/>
      <c r="H49" s="98"/>
    </row>
    <row r="50" spans="2:8" ht="25.5">
      <c r="B50" s="97" t="s">
        <v>108</v>
      </c>
      <c r="C50" s="252" t="s">
        <v>109</v>
      </c>
      <c r="D50" s="253"/>
      <c r="E50" s="252">
        <v>35</v>
      </c>
      <c r="F50" s="253"/>
      <c r="G50" s="98">
        <f>142+40</f>
        <v>182</v>
      </c>
      <c r="H50" s="98">
        <f>128+25</f>
        <v>153</v>
      </c>
    </row>
    <row r="51" spans="2:8">
      <c r="B51" s="97" t="s">
        <v>110</v>
      </c>
      <c r="C51" s="252">
        <v>60</v>
      </c>
      <c r="D51" s="253"/>
      <c r="E51" s="252">
        <v>58</v>
      </c>
      <c r="F51" s="253"/>
      <c r="G51" s="98"/>
      <c r="H51" s="98"/>
    </row>
    <row r="52" spans="2:8">
      <c r="B52" s="97" t="s">
        <v>111</v>
      </c>
      <c r="C52" s="252">
        <v>15</v>
      </c>
      <c r="D52" s="253"/>
      <c r="E52" s="252">
        <v>14.7</v>
      </c>
      <c r="F52" s="253"/>
      <c r="G52" s="98"/>
      <c r="H52" s="98"/>
    </row>
    <row r="53" spans="2:8">
      <c r="B53" s="97" t="s">
        <v>112</v>
      </c>
      <c r="C53" s="252">
        <v>300</v>
      </c>
      <c r="D53" s="253"/>
      <c r="E53" s="252">
        <v>300</v>
      </c>
      <c r="F53" s="253"/>
      <c r="G53" s="98">
        <f>211+24+100+100</f>
        <v>435</v>
      </c>
      <c r="H53" s="98">
        <f>22.5+200+200+24</f>
        <v>446.5</v>
      </c>
    </row>
    <row r="54" spans="2:8" ht="25.5">
      <c r="B54" s="97" t="s">
        <v>113</v>
      </c>
      <c r="C54" s="252">
        <v>150</v>
      </c>
      <c r="D54" s="253"/>
      <c r="E54" s="252">
        <v>150</v>
      </c>
      <c r="F54" s="253"/>
      <c r="G54" s="98"/>
      <c r="H54" s="98"/>
    </row>
    <row r="55" spans="2:8">
      <c r="B55" s="97" t="s">
        <v>114</v>
      </c>
      <c r="C55" s="252">
        <v>50</v>
      </c>
      <c r="D55" s="253"/>
      <c r="E55" s="252">
        <v>50</v>
      </c>
      <c r="F55" s="253"/>
      <c r="G55" s="98"/>
      <c r="H55" s="98"/>
    </row>
    <row r="56" spans="2:8">
      <c r="B56" s="97" t="s">
        <v>115</v>
      </c>
      <c r="C56" s="252">
        <v>10</v>
      </c>
      <c r="D56" s="253"/>
      <c r="E56" s="252">
        <v>9.8000000000000007</v>
      </c>
      <c r="F56" s="253"/>
      <c r="G56" s="98"/>
      <c r="H56" s="131"/>
    </row>
    <row r="57" spans="2:8">
      <c r="B57" s="97" t="s">
        <v>116</v>
      </c>
      <c r="C57" s="252">
        <v>10</v>
      </c>
      <c r="D57" s="253"/>
      <c r="E57" s="252">
        <v>10</v>
      </c>
      <c r="F57" s="253"/>
      <c r="G57" s="103"/>
      <c r="H57" s="103"/>
    </row>
    <row r="58" spans="2:8">
      <c r="B58" s="97" t="s">
        <v>117</v>
      </c>
      <c r="C58" s="252">
        <v>30</v>
      </c>
      <c r="D58" s="253"/>
      <c r="E58" s="252">
        <v>30</v>
      </c>
      <c r="F58" s="253"/>
      <c r="G58" s="98">
        <f>0.5+5.25+10+10</f>
        <v>25.75</v>
      </c>
      <c r="H58" s="98">
        <v>25.75</v>
      </c>
    </row>
    <row r="59" spans="2:8">
      <c r="B59" s="97" t="s">
        <v>118</v>
      </c>
      <c r="C59" s="252">
        <v>15</v>
      </c>
      <c r="D59" s="253"/>
      <c r="E59" s="252">
        <v>15</v>
      </c>
      <c r="F59" s="253"/>
      <c r="G59" s="98">
        <v>10</v>
      </c>
      <c r="H59" s="98">
        <v>10</v>
      </c>
    </row>
    <row r="60" spans="2:8">
      <c r="B60" s="97" t="s">
        <v>119</v>
      </c>
      <c r="C60" s="252" t="s">
        <v>120</v>
      </c>
      <c r="D60" s="253"/>
      <c r="E60" s="252">
        <v>40</v>
      </c>
      <c r="F60" s="253"/>
      <c r="G60" s="98">
        <v>2.1</v>
      </c>
      <c r="H60" s="98">
        <v>2.1</v>
      </c>
    </row>
    <row r="61" spans="2:8">
      <c r="B61" s="97" t="s">
        <v>121</v>
      </c>
      <c r="C61" s="252">
        <v>40</v>
      </c>
      <c r="D61" s="253"/>
      <c r="E61" s="256">
        <v>40</v>
      </c>
      <c r="F61" s="257"/>
      <c r="G61" s="98">
        <f>46.36</f>
        <v>46.36</v>
      </c>
      <c r="H61" s="98">
        <v>46.36</v>
      </c>
    </row>
    <row r="62" spans="2:8">
      <c r="B62" s="97" t="s">
        <v>122</v>
      </c>
      <c r="C62" s="256">
        <v>10</v>
      </c>
      <c r="D62" s="257"/>
      <c r="E62" s="252">
        <v>10</v>
      </c>
      <c r="F62" s="253"/>
      <c r="G62" s="98"/>
      <c r="H62" s="98"/>
    </row>
    <row r="63" spans="2:8">
      <c r="B63" s="97" t="s">
        <v>123</v>
      </c>
      <c r="C63" s="252">
        <v>0.4</v>
      </c>
      <c r="D63" s="253"/>
      <c r="E63" s="252">
        <v>0.4</v>
      </c>
      <c r="F63" s="253"/>
      <c r="G63" s="98"/>
      <c r="H63" s="98"/>
    </row>
    <row r="64" spans="2:8">
      <c r="B64" s="97" t="s">
        <v>124</v>
      </c>
      <c r="C64" s="252">
        <v>1.2</v>
      </c>
      <c r="D64" s="253"/>
      <c r="E64" s="252">
        <v>1.2</v>
      </c>
      <c r="F64" s="253"/>
      <c r="G64" s="98">
        <v>4</v>
      </c>
      <c r="H64" s="98">
        <v>4</v>
      </c>
    </row>
    <row r="65" spans="2:8">
      <c r="B65" s="97" t="s">
        <v>125</v>
      </c>
      <c r="C65" s="252">
        <v>1</v>
      </c>
      <c r="D65" s="253"/>
      <c r="E65" s="252">
        <v>1</v>
      </c>
      <c r="F65" s="253"/>
      <c r="G65" s="98">
        <v>0.1</v>
      </c>
      <c r="H65" s="98">
        <v>0.1</v>
      </c>
    </row>
    <row r="66" spans="2:8">
      <c r="B66" s="97" t="s">
        <v>126</v>
      </c>
      <c r="C66" s="252">
        <v>5</v>
      </c>
      <c r="D66" s="253"/>
      <c r="E66" s="252">
        <v>5</v>
      </c>
      <c r="F66" s="253"/>
      <c r="G66" s="98">
        <v>3</v>
      </c>
      <c r="H66" s="98">
        <v>3</v>
      </c>
    </row>
    <row r="67" spans="2:8">
      <c r="B67" s="53"/>
      <c r="C67" s="349"/>
      <c r="D67" s="349"/>
      <c r="E67" s="349"/>
      <c r="F67" s="349"/>
      <c r="G67" s="107"/>
      <c r="H67" s="107"/>
    </row>
    <row r="68" spans="2:8">
      <c r="B68" s="53"/>
      <c r="C68" s="349"/>
      <c r="D68" s="349"/>
      <c r="E68" s="349"/>
      <c r="F68" s="349"/>
      <c r="G68" s="107"/>
      <c r="H68" s="107"/>
    </row>
    <row r="69" spans="2:8">
      <c r="B69" s="53"/>
      <c r="C69" s="349"/>
      <c r="D69" s="349"/>
      <c r="E69" s="349"/>
      <c r="F69" s="349"/>
      <c r="G69" s="107"/>
      <c r="H69" s="107"/>
    </row>
    <row r="70" spans="2:8">
      <c r="B70" s="53"/>
      <c r="C70" s="349"/>
      <c r="D70" s="349"/>
      <c r="E70" s="349"/>
      <c r="F70" s="349"/>
      <c r="G70" s="107"/>
      <c r="H70" s="107"/>
    </row>
    <row r="71" spans="2:8">
      <c r="B71" s="53"/>
      <c r="C71" s="349"/>
      <c r="D71" s="349"/>
      <c r="E71" s="349"/>
      <c r="F71" s="349"/>
      <c r="G71" s="107"/>
      <c r="H71" s="107"/>
    </row>
    <row r="72" spans="2:8">
      <c r="B72" s="53"/>
      <c r="C72" s="349"/>
      <c r="D72" s="349"/>
      <c r="E72" s="349"/>
      <c r="F72" s="349"/>
      <c r="G72" s="107"/>
      <c r="H72" s="107"/>
    </row>
    <row r="73" spans="2:8">
      <c r="B73" s="20"/>
      <c r="C73" s="20"/>
      <c r="D73" s="20"/>
      <c r="E73" s="20"/>
      <c r="F73" s="20"/>
      <c r="G73" s="20"/>
      <c r="H73" s="20"/>
    </row>
  </sheetData>
  <sheetProtection formatCells="0" formatColumns="0" formatRows="0" insertColumns="0" insertRows="0" insertHyperlinks="0" deleteColumns="0" deleteRows="0" sort="0" autoFilter="0" pivotTables="0"/>
  <mergeCells count="91">
    <mergeCell ref="C39:D39"/>
    <mergeCell ref="E39:F39"/>
    <mergeCell ref="C40:D40"/>
    <mergeCell ref="E40:F40"/>
    <mergeCell ref="C41:D41"/>
    <mergeCell ref="E41:F41"/>
    <mergeCell ref="C36:F36"/>
    <mergeCell ref="G36:H36"/>
    <mergeCell ref="B37:B38"/>
    <mergeCell ref="C37:D37"/>
    <mergeCell ref="E37:F37"/>
    <mergeCell ref="C38:D38"/>
    <mergeCell ref="E38:F38"/>
    <mergeCell ref="A23:O23"/>
    <mergeCell ref="A14:O14"/>
    <mergeCell ref="E48:F48"/>
    <mergeCell ref="E47:F47"/>
    <mergeCell ref="E46:F46"/>
    <mergeCell ref="E45:F45"/>
    <mergeCell ref="E44:F44"/>
    <mergeCell ref="C45:D45"/>
    <mergeCell ref="C46:D46"/>
    <mergeCell ref="C47:D47"/>
    <mergeCell ref="C48:D48"/>
    <mergeCell ref="B30:E31"/>
    <mergeCell ref="F30:H30"/>
    <mergeCell ref="B32:E32"/>
    <mergeCell ref="B33:E33"/>
    <mergeCell ref="B35:H35"/>
    <mergeCell ref="E53:F53"/>
    <mergeCell ref="E52:F52"/>
    <mergeCell ref="E51:F51"/>
    <mergeCell ref="E50:F50"/>
    <mergeCell ref="E49:F49"/>
    <mergeCell ref="E58:F58"/>
    <mergeCell ref="E57:F57"/>
    <mergeCell ref="E56:F56"/>
    <mergeCell ref="E55:F55"/>
    <mergeCell ref="E54:F54"/>
    <mergeCell ref="E63:F63"/>
    <mergeCell ref="E62:F62"/>
    <mergeCell ref="E61:F61"/>
    <mergeCell ref="E60:F60"/>
    <mergeCell ref="E59:F59"/>
    <mergeCell ref="E69:F69"/>
    <mergeCell ref="E68:F68"/>
    <mergeCell ref="E67:F67"/>
    <mergeCell ref="E66:F66"/>
    <mergeCell ref="E64:F64"/>
    <mergeCell ref="E65:F65"/>
    <mergeCell ref="C70:D70"/>
    <mergeCell ref="C71:D71"/>
    <mergeCell ref="C72:D72"/>
    <mergeCell ref="E72:F72"/>
    <mergeCell ref="E71:F71"/>
    <mergeCell ref="E70:F70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9:D49"/>
    <mergeCell ref="C43:D43"/>
    <mergeCell ref="E43:F43"/>
    <mergeCell ref="C44:D44"/>
    <mergeCell ref="C42:D42"/>
    <mergeCell ref="E42:F42"/>
    <mergeCell ref="A9:A11"/>
    <mergeCell ref="H5:K5"/>
    <mergeCell ref="L5:O5"/>
    <mergeCell ref="A5:A6"/>
    <mergeCell ref="B5:B6"/>
    <mergeCell ref="C5:C6"/>
    <mergeCell ref="D5:F5"/>
    <mergeCell ref="G5:G6"/>
    <mergeCell ref="D10:O11"/>
  </mergeCells>
  <pageMargins left="0.23622047244094491" right="0.23622047244094491" top="0.74803149606299213" bottom="0.74803149606299213" header="0.31496062992125984" footer="0.31496062992125984"/>
  <pageSetup paperSize="9" scale="75" fitToWidth="2" fitToHeight="2" orientation="landscape" r:id="rId1"/>
  <rowBreaks count="1" manualBreakCount="1">
    <brk id="34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AI38"/>
  <sheetViews>
    <sheetView tabSelected="1" view="pageBreakPreview" zoomScaleSheetLayoutView="100" workbookViewId="0">
      <selection activeCell="A20" sqref="A20"/>
    </sheetView>
  </sheetViews>
  <sheetFormatPr defaultRowHeight="15"/>
  <cols>
    <col min="1" max="1" width="23.5703125" style="95" customWidth="1"/>
    <col min="2" max="5" width="9.140625" style="95"/>
    <col min="6" max="6" width="10.42578125" style="95" customWidth="1"/>
    <col min="7" max="7" width="11.85546875" style="95" customWidth="1"/>
    <col min="8" max="16384" width="9.140625" style="95"/>
  </cols>
  <sheetData>
    <row r="1" spans="1:35" ht="48" customHeight="1">
      <c r="A1" s="249" t="s">
        <v>127</v>
      </c>
      <c r="B1" s="249"/>
      <c r="C1" s="249"/>
      <c r="D1" s="249"/>
      <c r="E1" s="249"/>
      <c r="F1" s="249"/>
      <c r="G1" s="249"/>
    </row>
    <row r="2" spans="1:35" ht="30.75" customHeight="1">
      <c r="A2" s="96" t="s">
        <v>89</v>
      </c>
      <c r="B2" s="244" t="s">
        <v>90</v>
      </c>
      <c r="C2" s="244"/>
      <c r="D2" s="244"/>
      <c r="E2" s="244"/>
      <c r="F2" s="250" t="s">
        <v>146</v>
      </c>
      <c r="G2" s="251"/>
    </row>
    <row r="3" spans="1:35" ht="25.5">
      <c r="A3" s="247"/>
      <c r="B3" s="245" t="s">
        <v>91</v>
      </c>
      <c r="C3" s="246"/>
      <c r="D3" s="245" t="s">
        <v>92</v>
      </c>
      <c r="E3" s="246"/>
      <c r="F3" s="96" t="s">
        <v>91</v>
      </c>
      <c r="G3" s="96" t="s">
        <v>92</v>
      </c>
    </row>
    <row r="4" spans="1:35">
      <c r="A4" s="248"/>
      <c r="B4" s="245" t="s">
        <v>52</v>
      </c>
      <c r="C4" s="246"/>
      <c r="D4" s="245" t="s">
        <v>52</v>
      </c>
      <c r="E4" s="246"/>
      <c r="F4" s="96" t="s">
        <v>52</v>
      </c>
      <c r="G4" s="96" t="s">
        <v>52</v>
      </c>
    </row>
    <row r="5" spans="1:35" ht="25.5">
      <c r="A5" s="97" t="s">
        <v>93</v>
      </c>
      <c r="B5" s="252">
        <v>80</v>
      </c>
      <c r="C5" s="253"/>
      <c r="D5" s="252">
        <v>80</v>
      </c>
      <c r="E5" s="253"/>
      <c r="F5" s="98">
        <v>40</v>
      </c>
      <c r="G5" s="98">
        <v>40</v>
      </c>
    </row>
    <row r="6" spans="1:35">
      <c r="A6" s="97" t="s">
        <v>94</v>
      </c>
      <c r="B6" s="252">
        <v>150</v>
      </c>
      <c r="C6" s="253"/>
      <c r="D6" s="252">
        <v>150</v>
      </c>
      <c r="E6" s="253"/>
      <c r="F6" s="98">
        <f>(70+100+103+78+90+90+70+90+118)/10</f>
        <v>80.900000000000006</v>
      </c>
      <c r="G6" s="98">
        <f>(70+100+103+78+90+90+70+90+118)/10</f>
        <v>80.900000000000006</v>
      </c>
    </row>
    <row r="7" spans="1:35">
      <c r="A7" s="97" t="s">
        <v>95</v>
      </c>
      <c r="B7" s="252">
        <v>15</v>
      </c>
      <c r="C7" s="253"/>
      <c r="D7" s="252">
        <v>15</v>
      </c>
      <c r="E7" s="253"/>
      <c r="F7" s="98">
        <f>(2+89.5+15.6+44.79+9.55+35.71+20.5+18.25+9.6)/10</f>
        <v>24.55</v>
      </c>
      <c r="G7" s="98">
        <v>24.55</v>
      </c>
    </row>
    <row r="8" spans="1:35" s="102" customFormat="1">
      <c r="A8" s="99" t="s">
        <v>96</v>
      </c>
      <c r="B8" s="254">
        <v>45</v>
      </c>
      <c r="C8" s="255"/>
      <c r="D8" s="254">
        <v>45</v>
      </c>
      <c r="E8" s="255"/>
      <c r="F8" s="100">
        <f>(31+33+75+44+54+52+75+49)/10</f>
        <v>41.3</v>
      </c>
      <c r="G8" s="100">
        <v>41.3</v>
      </c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</row>
    <row r="9" spans="1:35">
      <c r="A9" s="97" t="s">
        <v>97</v>
      </c>
      <c r="B9" s="252">
        <v>15</v>
      </c>
      <c r="C9" s="253"/>
      <c r="D9" s="252">
        <v>15</v>
      </c>
      <c r="E9" s="253"/>
      <c r="F9" s="98">
        <f>(52.5+10+10+52.5+10)/10</f>
        <v>13.5</v>
      </c>
      <c r="G9" s="98">
        <v>13.5</v>
      </c>
    </row>
    <row r="10" spans="1:35">
      <c r="A10" s="97" t="s">
        <v>98</v>
      </c>
      <c r="B10" s="252" t="s">
        <v>99</v>
      </c>
      <c r="C10" s="253"/>
      <c r="D10" s="256">
        <v>188</v>
      </c>
      <c r="E10" s="257"/>
      <c r="F10" s="98">
        <f>(253.3+33.25+27+40+82.3+238+40+53.4+226.9+100)/10</f>
        <v>109.41500000000001</v>
      </c>
      <c r="G10" s="98">
        <f>(75+170+40+30+179+82.3+30+20+25+190)/10</f>
        <v>84.13</v>
      </c>
    </row>
    <row r="11" spans="1:35">
      <c r="A11" s="97" t="s">
        <v>100</v>
      </c>
      <c r="B11" s="252">
        <v>350</v>
      </c>
      <c r="C11" s="253"/>
      <c r="D11" s="252" t="s">
        <v>101</v>
      </c>
      <c r="E11" s="253"/>
      <c r="F11" s="98">
        <f>(120.3+303.6+221.35+227.85+124.3+138.85+207.85+272.2+249.95+121.05)/10</f>
        <v>198.73</v>
      </c>
      <c r="G11" s="131">
        <f>(69.75+200+218.5+162+111.4+119+121.5+178.9+243.5+88.5)/10</f>
        <v>151.30500000000001</v>
      </c>
    </row>
    <row r="12" spans="1:35">
      <c r="A12" s="97" t="s">
        <v>102</v>
      </c>
      <c r="B12" s="252">
        <v>200</v>
      </c>
      <c r="C12" s="253"/>
      <c r="D12" s="252" t="s">
        <v>103</v>
      </c>
      <c r="E12" s="253"/>
      <c r="F12" s="98">
        <f>(100+135.7+100+135+145.4+134+135.7+135+129+135.7)/10</f>
        <v>128.55000000000001</v>
      </c>
      <c r="G12" s="98">
        <f>(125+129+128+135.7+130+145.4+128.2+100+125+100)/10</f>
        <v>124.63</v>
      </c>
    </row>
    <row r="13" spans="1:35" ht="25.5">
      <c r="A13" s="97" t="s">
        <v>104</v>
      </c>
      <c r="B13" s="252">
        <v>15</v>
      </c>
      <c r="C13" s="253"/>
      <c r="D13" s="252">
        <v>15</v>
      </c>
      <c r="E13" s="253"/>
      <c r="F13" s="98">
        <f>(20.1+5.1+25.6+25.6)/10</f>
        <v>7.6400000000000006</v>
      </c>
      <c r="G13" s="98">
        <f>(37+10+10+37+5+20.1)/10</f>
        <v>11.91</v>
      </c>
    </row>
    <row r="14" spans="1:35" ht="51">
      <c r="A14" s="97" t="s">
        <v>105</v>
      </c>
      <c r="B14" s="252">
        <v>200</v>
      </c>
      <c r="C14" s="253"/>
      <c r="D14" s="252">
        <v>200</v>
      </c>
      <c r="E14" s="253"/>
      <c r="F14" s="98">
        <f>(200+200+200+200+200)/10</f>
        <v>100</v>
      </c>
      <c r="G14" s="98">
        <v>100</v>
      </c>
    </row>
    <row r="15" spans="1:35" ht="25.5">
      <c r="A15" s="97" t="s">
        <v>106</v>
      </c>
      <c r="B15" s="252" t="s">
        <v>107</v>
      </c>
      <c r="C15" s="253"/>
      <c r="D15" s="252">
        <v>70</v>
      </c>
      <c r="E15" s="253"/>
      <c r="F15" s="98">
        <f>(92+40+121+150+121+40+150)/10</f>
        <v>71.400000000000006</v>
      </c>
      <c r="G15" s="98">
        <f>(106+25+96+106+96+25+63)/10</f>
        <v>51.7</v>
      </c>
    </row>
    <row r="16" spans="1:35" ht="38.25">
      <c r="A16" s="97" t="s">
        <v>108</v>
      </c>
      <c r="B16" s="252" t="s">
        <v>109</v>
      </c>
      <c r="C16" s="253"/>
      <c r="D16" s="252">
        <v>35</v>
      </c>
      <c r="E16" s="253"/>
      <c r="F16" s="98">
        <f>(182+40+125)/10</f>
        <v>34.700000000000003</v>
      </c>
      <c r="G16" s="98">
        <f>(60+25+153)/10</f>
        <v>23.8</v>
      </c>
    </row>
    <row r="17" spans="1:7">
      <c r="A17" s="97" t="s">
        <v>110</v>
      </c>
      <c r="B17" s="252">
        <v>60</v>
      </c>
      <c r="C17" s="253"/>
      <c r="D17" s="252">
        <v>58</v>
      </c>
      <c r="E17" s="253"/>
      <c r="F17" s="98">
        <f>(90+246+123)/10</f>
        <v>45.9</v>
      </c>
      <c r="G17" s="98">
        <f>(61+124+66)/10</f>
        <v>25.1</v>
      </c>
    </row>
    <row r="18" spans="1:7">
      <c r="A18" s="97" t="s">
        <v>111</v>
      </c>
      <c r="B18" s="252">
        <v>15</v>
      </c>
      <c r="C18" s="253"/>
      <c r="D18" s="252">
        <v>14.7</v>
      </c>
      <c r="E18" s="253"/>
      <c r="F18" s="98">
        <v>0</v>
      </c>
      <c r="G18" s="98">
        <v>0</v>
      </c>
    </row>
    <row r="19" spans="1:7" ht="25.5">
      <c r="A19" s="97" t="s">
        <v>112</v>
      </c>
      <c r="B19" s="252">
        <v>300</v>
      </c>
      <c r="C19" s="253"/>
      <c r="D19" s="252">
        <v>300</v>
      </c>
      <c r="E19" s="253"/>
      <c r="F19" s="98">
        <f>(435+176+411+100+411+150+125.92+162+102+411)/10</f>
        <v>248.392</v>
      </c>
      <c r="G19" s="98">
        <f>(400+100.5+162+125.92+150+400+100+400+176+446.5)/10</f>
        <v>246.09200000000001</v>
      </c>
    </row>
    <row r="20" spans="1:7" ht="38.25">
      <c r="A20" s="97" t="s">
        <v>113</v>
      </c>
      <c r="B20" s="252">
        <v>150</v>
      </c>
      <c r="C20" s="253"/>
      <c r="D20" s="252">
        <v>150</v>
      </c>
      <c r="E20" s="253"/>
      <c r="F20" s="98">
        <f>(206+237+206+207+206+207)/10</f>
        <v>126.9</v>
      </c>
      <c r="G20" s="98">
        <f>(200+200+200+200+230+200)/10</f>
        <v>123</v>
      </c>
    </row>
    <row r="21" spans="1:7" ht="25.5">
      <c r="A21" s="97" t="s">
        <v>114</v>
      </c>
      <c r="B21" s="252">
        <v>50</v>
      </c>
      <c r="C21" s="253"/>
      <c r="D21" s="252">
        <v>50</v>
      </c>
      <c r="E21" s="253"/>
      <c r="F21" s="98">
        <f>(83.7+113.7)/10</f>
        <v>19.740000000000002</v>
      </c>
      <c r="G21" s="98">
        <f>(112+82)/10</f>
        <v>19.399999999999999</v>
      </c>
    </row>
    <row r="22" spans="1:7">
      <c r="A22" s="97" t="s">
        <v>115</v>
      </c>
      <c r="B22" s="252">
        <v>10</v>
      </c>
      <c r="C22" s="253"/>
      <c r="D22" s="252">
        <v>9.8000000000000007</v>
      </c>
      <c r="E22" s="253"/>
      <c r="F22" s="98">
        <f>(16+16+16)/10</f>
        <v>4.8</v>
      </c>
      <c r="G22" s="131">
        <f>(15+15+15)/10</f>
        <v>4.5</v>
      </c>
    </row>
    <row r="23" spans="1:7" ht="25.5">
      <c r="A23" s="97" t="s">
        <v>116</v>
      </c>
      <c r="B23" s="252">
        <v>10</v>
      </c>
      <c r="C23" s="253"/>
      <c r="D23" s="252">
        <v>10</v>
      </c>
      <c r="E23" s="253"/>
      <c r="F23" s="103">
        <f>(12.5+12.5+12.5+22)/10</f>
        <v>5.95</v>
      </c>
      <c r="G23" s="103">
        <v>5.95</v>
      </c>
    </row>
    <row r="24" spans="1:7">
      <c r="A24" s="97" t="s">
        <v>117</v>
      </c>
      <c r="B24" s="252">
        <v>30</v>
      </c>
      <c r="C24" s="253"/>
      <c r="D24" s="252">
        <v>30</v>
      </c>
      <c r="E24" s="253"/>
      <c r="F24" s="98">
        <f>(25.75+20+28.9+30+20.3+40.75+39.12+31.6+15.25+19.5)/10</f>
        <v>27.116999999999997</v>
      </c>
      <c r="G24" s="98">
        <v>27.12</v>
      </c>
    </row>
    <row r="25" spans="1:7">
      <c r="A25" s="97" t="s">
        <v>118</v>
      </c>
      <c r="B25" s="252">
        <v>15</v>
      </c>
      <c r="C25" s="253"/>
      <c r="D25" s="252">
        <v>15</v>
      </c>
      <c r="E25" s="253"/>
      <c r="F25" s="98">
        <f>(10+24+14.15+5+12.32+15.7+15+17+27+10)/10</f>
        <v>15.017000000000001</v>
      </c>
      <c r="G25" s="98">
        <v>15.02</v>
      </c>
    </row>
    <row r="26" spans="1:7">
      <c r="A26" s="97" t="s">
        <v>119</v>
      </c>
      <c r="B26" s="252" t="s">
        <v>120</v>
      </c>
      <c r="C26" s="253"/>
      <c r="D26" s="252">
        <v>40</v>
      </c>
      <c r="E26" s="253"/>
      <c r="F26" s="98">
        <f>(2.1+3+40+1.6+80.1+40+81.4+9.9+2.1)/10</f>
        <v>26.020000000000003</v>
      </c>
      <c r="G26" s="98">
        <f>26.02</f>
        <v>26.02</v>
      </c>
    </row>
    <row r="27" spans="1:7">
      <c r="A27" s="97" t="s">
        <v>121</v>
      </c>
      <c r="B27" s="252">
        <v>40</v>
      </c>
      <c r="C27" s="253"/>
      <c r="D27" s="256">
        <v>40</v>
      </c>
      <c r="E27" s="257"/>
      <c r="F27" s="98">
        <f>(26+10.75+32.15+32.7+36.6+24.35+54.3+39.5+30+46.36+6)/10</f>
        <v>33.871000000000002</v>
      </c>
      <c r="G27" s="98">
        <v>33.869999999999997</v>
      </c>
    </row>
    <row r="28" spans="1:7">
      <c r="A28" s="97" t="s">
        <v>122</v>
      </c>
      <c r="B28" s="256">
        <v>10</v>
      </c>
      <c r="C28" s="257"/>
      <c r="D28" s="252">
        <v>10</v>
      </c>
      <c r="E28" s="253"/>
      <c r="F28" s="98">
        <f>(20+20+20+15)/10</f>
        <v>7.5</v>
      </c>
      <c r="G28" s="98">
        <v>7.5</v>
      </c>
    </row>
    <row r="29" spans="1:7">
      <c r="A29" s="97" t="s">
        <v>123</v>
      </c>
      <c r="B29" s="252">
        <v>0.4</v>
      </c>
      <c r="C29" s="253"/>
      <c r="D29" s="252">
        <v>0.4</v>
      </c>
      <c r="E29" s="253"/>
      <c r="F29" s="98">
        <f>(0.5+0.5+0.5+0.5)/10</f>
        <v>0.2</v>
      </c>
      <c r="G29" s="98">
        <v>0.2</v>
      </c>
    </row>
    <row r="30" spans="1:7">
      <c r="A30" s="97" t="s">
        <v>124</v>
      </c>
      <c r="B30" s="252">
        <v>1.2</v>
      </c>
      <c r="C30" s="253"/>
      <c r="D30" s="252">
        <v>1.2</v>
      </c>
      <c r="E30" s="253"/>
      <c r="F30" s="98">
        <f>(4+4)/10</f>
        <v>0.8</v>
      </c>
      <c r="G30" s="98">
        <v>0.8</v>
      </c>
    </row>
    <row r="31" spans="1:7">
      <c r="A31" s="97" t="s">
        <v>125</v>
      </c>
      <c r="B31" s="252">
        <v>1</v>
      </c>
      <c r="C31" s="253"/>
      <c r="D31" s="252">
        <v>1</v>
      </c>
      <c r="E31" s="253"/>
      <c r="F31" s="98">
        <f>(0.1+0.56+0.5+0.1+0.1+2.25)/10</f>
        <v>0.36100000000000004</v>
      </c>
      <c r="G31" s="98">
        <v>0.36</v>
      </c>
    </row>
    <row r="32" spans="1:7">
      <c r="A32" s="97" t="s">
        <v>126</v>
      </c>
      <c r="B32" s="252">
        <v>5</v>
      </c>
      <c r="C32" s="253"/>
      <c r="D32" s="252">
        <v>5</v>
      </c>
      <c r="E32" s="253"/>
      <c r="F32" s="98">
        <f>(3.3+3.1+3+3.03+3.2+3.8+3.56+3+3+5)/10</f>
        <v>3.3989999999999996</v>
      </c>
      <c r="G32" s="98">
        <v>3.4</v>
      </c>
    </row>
    <row r="33" spans="1:8" ht="15.75" thickBot="1"/>
    <row r="34" spans="1:8" ht="39" thickBot="1">
      <c r="A34" s="210" t="s">
        <v>74</v>
      </c>
      <c r="B34" s="211"/>
      <c r="C34" s="211"/>
      <c r="D34" s="211"/>
      <c r="E34" s="214" t="s">
        <v>75</v>
      </c>
      <c r="F34" s="215"/>
      <c r="G34" s="216"/>
      <c r="H34" s="41" t="s">
        <v>76</v>
      </c>
    </row>
    <row r="35" spans="1:8" ht="15.75" thickBot="1">
      <c r="A35" s="212"/>
      <c r="B35" s="213"/>
      <c r="C35" s="213"/>
      <c r="D35" s="213"/>
      <c r="E35" s="42" t="s">
        <v>1</v>
      </c>
      <c r="F35" s="42" t="s">
        <v>2</v>
      </c>
      <c r="G35" s="42" t="s">
        <v>3</v>
      </c>
      <c r="H35" s="43"/>
    </row>
    <row r="36" spans="1:8" ht="15.75" thickBot="1">
      <c r="A36" s="217" t="s">
        <v>78</v>
      </c>
      <c r="B36" s="218"/>
      <c r="C36" s="218"/>
      <c r="D36" s="218"/>
      <c r="E36" s="42" t="s">
        <v>79</v>
      </c>
      <c r="F36" s="42" t="s">
        <v>80</v>
      </c>
      <c r="G36" s="42" t="s">
        <v>81</v>
      </c>
      <c r="H36" s="42" t="s">
        <v>82</v>
      </c>
    </row>
    <row r="37" spans="1:8" ht="15.75" thickBot="1">
      <c r="A37" s="217" t="s">
        <v>83</v>
      </c>
      <c r="B37" s="218"/>
      <c r="C37" s="218"/>
      <c r="D37" s="218"/>
      <c r="E37" s="44">
        <f>(58.91+61.65+54.83+57.92+52.03+59.4+59.44+72.27+47.3+60.35)/10</f>
        <v>58.410000000000004</v>
      </c>
      <c r="F37" s="44">
        <f>(58.73+54.74+80.65+59.08+56.01+67.37+63.16+63.03+47.78+71.64)/10</f>
        <v>62.218999999999994</v>
      </c>
      <c r="G37" s="44">
        <f>(239.73+241.82+191.79+259+215.93+215.28+235.41+234.37+217.14+224.3)/10</f>
        <v>227.477</v>
      </c>
      <c r="H37" s="44">
        <f>(1738.9+1754.78+1715.58+1832.8+1561.06+1704.48+1764.3+1811.58+1514.93+1825.63)/10</f>
        <v>1722.404</v>
      </c>
    </row>
    <row r="38" spans="1:8">
      <c r="A38"/>
      <c r="B38"/>
      <c r="C38"/>
      <c r="D38"/>
      <c r="E38"/>
      <c r="F38"/>
      <c r="G38"/>
      <c r="H38"/>
    </row>
  </sheetData>
  <mergeCells count="68">
    <mergeCell ref="A36:D36"/>
    <mergeCell ref="A37:D37"/>
    <mergeCell ref="A34:D35"/>
    <mergeCell ref="E34:G34"/>
    <mergeCell ref="B9:C9"/>
    <mergeCell ref="B19:C19"/>
    <mergeCell ref="B18:C18"/>
    <mergeCell ref="B16:C16"/>
    <mergeCell ref="B17:C17"/>
    <mergeCell ref="B15:C15"/>
    <mergeCell ref="B24:C24"/>
    <mergeCell ref="B23:C23"/>
    <mergeCell ref="B22:C22"/>
    <mergeCell ref="B21:C21"/>
    <mergeCell ref="B20:C20"/>
    <mergeCell ref="B28:C28"/>
    <mergeCell ref="B8:C8"/>
    <mergeCell ref="B7:C7"/>
    <mergeCell ref="B6:C6"/>
    <mergeCell ref="B5:C5"/>
    <mergeCell ref="B14:C14"/>
    <mergeCell ref="B13:C13"/>
    <mergeCell ref="B12:C12"/>
    <mergeCell ref="B11:C11"/>
    <mergeCell ref="B10:C10"/>
    <mergeCell ref="B29:C29"/>
    <mergeCell ref="B27:C27"/>
    <mergeCell ref="B26:C26"/>
    <mergeCell ref="B25:C25"/>
    <mergeCell ref="D30:E30"/>
    <mergeCell ref="D25:E25"/>
    <mergeCell ref="D26:E26"/>
    <mergeCell ref="D27:E27"/>
    <mergeCell ref="D28:E28"/>
    <mergeCell ref="D29:E29"/>
    <mergeCell ref="D31:E31"/>
    <mergeCell ref="D32:E32"/>
    <mergeCell ref="B32:C32"/>
    <mergeCell ref="B31:C31"/>
    <mergeCell ref="B30:C30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9:E9"/>
    <mergeCell ref="A1:G1"/>
    <mergeCell ref="B2:E2"/>
    <mergeCell ref="F2:G2"/>
    <mergeCell ref="A3:A4"/>
    <mergeCell ref="B3:C3"/>
    <mergeCell ref="D3:E3"/>
    <mergeCell ref="B4:C4"/>
    <mergeCell ref="D4:E4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O85"/>
  <sheetViews>
    <sheetView view="pageBreakPreview" zoomScale="80" zoomScaleSheetLayoutView="80" workbookViewId="0">
      <selection activeCell="G30" sqref="D30:G30"/>
    </sheetView>
  </sheetViews>
  <sheetFormatPr defaultRowHeight="12.75"/>
  <cols>
    <col min="1" max="1" width="14.7109375" style="29" customWidth="1"/>
    <col min="2" max="2" width="32" style="29" bestFit="1" customWidth="1"/>
    <col min="3" max="3" width="9.28515625" style="29" bestFit="1" customWidth="1"/>
    <col min="4" max="4" width="11.28515625" style="29" bestFit="1" customWidth="1"/>
    <col min="5" max="6" width="9.28515625" style="29" bestFit="1" customWidth="1"/>
    <col min="7" max="7" width="12.7109375" style="29" customWidth="1"/>
    <col min="8" max="8" width="10.85546875" style="29" customWidth="1"/>
    <col min="9" max="9" width="10.7109375" style="29" customWidth="1"/>
    <col min="10" max="10" width="9.28515625" style="29" bestFit="1" customWidth="1"/>
    <col min="11" max="11" width="11.28515625" style="29" customWidth="1"/>
    <col min="12" max="12" width="12.28515625" style="29" customWidth="1"/>
    <col min="13" max="13" width="10.42578125" style="29" bestFit="1" customWidth="1"/>
    <col min="14" max="15" width="9.28515625" style="29" bestFit="1" customWidth="1"/>
    <col min="16" max="16384" width="9.140625" style="29"/>
  </cols>
  <sheetData>
    <row r="1" spans="1:15">
      <c r="A1" s="27" t="s">
        <v>45</v>
      </c>
      <c r="B1" s="28" t="s">
        <v>46</v>
      </c>
    </row>
    <row r="2" spans="1:15">
      <c r="A2" s="27" t="s">
        <v>47</v>
      </c>
      <c r="B2" s="28" t="s">
        <v>48</v>
      </c>
    </row>
    <row r="3" spans="1:15">
      <c r="A3" s="27" t="s">
        <v>49</v>
      </c>
      <c r="B3" s="28" t="s">
        <v>50</v>
      </c>
    </row>
    <row r="4" spans="1:15" ht="25.5">
      <c r="A4" s="27" t="s">
        <v>51</v>
      </c>
      <c r="B4" s="28" t="s">
        <v>52</v>
      </c>
    </row>
    <row r="5" spans="1:15" ht="15.75" customHeight="1">
      <c r="A5" s="222" t="s">
        <v>32</v>
      </c>
      <c r="B5" s="222" t="s">
        <v>21</v>
      </c>
      <c r="C5" s="222" t="s">
        <v>24</v>
      </c>
      <c r="D5" s="219" t="s">
        <v>35</v>
      </c>
      <c r="E5" s="220"/>
      <c r="F5" s="221"/>
      <c r="G5" s="222" t="s">
        <v>0</v>
      </c>
      <c r="H5" s="219" t="s">
        <v>34</v>
      </c>
      <c r="I5" s="220"/>
      <c r="J5" s="220"/>
      <c r="K5" s="221"/>
      <c r="L5" s="219" t="s">
        <v>33</v>
      </c>
      <c r="M5" s="220"/>
      <c r="N5" s="220"/>
      <c r="O5" s="221"/>
    </row>
    <row r="6" spans="1:15" ht="24" customHeight="1">
      <c r="A6" s="223"/>
      <c r="B6" s="227"/>
      <c r="C6" s="226"/>
      <c r="D6" s="30" t="s">
        <v>1</v>
      </c>
      <c r="E6" s="30" t="s">
        <v>2</v>
      </c>
      <c r="F6" s="30" t="s">
        <v>3</v>
      </c>
      <c r="G6" s="223"/>
      <c r="H6" s="30" t="s">
        <v>64</v>
      </c>
      <c r="I6" s="30" t="s">
        <v>4</v>
      </c>
      <c r="J6" s="30" t="s">
        <v>5</v>
      </c>
      <c r="K6" s="30" t="s">
        <v>6</v>
      </c>
      <c r="L6" s="30" t="s">
        <v>7</v>
      </c>
      <c r="M6" s="30" t="s">
        <v>8</v>
      </c>
      <c r="N6" s="30" t="s">
        <v>9</v>
      </c>
      <c r="O6" s="30" t="s">
        <v>10</v>
      </c>
    </row>
    <row r="7" spans="1:15">
      <c r="A7" s="224" t="s">
        <v>42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</row>
    <row r="8" spans="1:15" s="31" customFormat="1" ht="38.25">
      <c r="A8" s="17">
        <v>173</v>
      </c>
      <c r="B8" s="10" t="s">
        <v>154</v>
      </c>
      <c r="C8" s="17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 ht="15">
      <c r="A10" s="229"/>
      <c r="B10" s="56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 ht="15">
      <c r="A11" s="229"/>
      <c r="B11" s="56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 ht="15">
      <c r="A12" s="230"/>
      <c r="B12" s="56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 ht="15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 ht="15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1" customFormat="1">
      <c r="A15" s="140" t="s">
        <v>11</v>
      </c>
      <c r="B15" s="141"/>
      <c r="C15" s="141"/>
      <c r="D15" s="142">
        <f>SUM(D8:D14)</f>
        <v>22.077999999999999</v>
      </c>
      <c r="E15" s="142">
        <f t="shared" ref="E15:F15" si="0">SUM(E8:E14)</f>
        <v>25.684000000000001</v>
      </c>
      <c r="F15" s="142">
        <f t="shared" si="0"/>
        <v>91.888000000000005</v>
      </c>
      <c r="G15" s="142">
        <f>SUM(G8:G14)</f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1" customFormat="1" ht="15" customHeight="1">
      <c r="A16" s="240" t="s">
        <v>23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1"/>
    </row>
    <row r="17" spans="1:15" s="31" customFormat="1">
      <c r="A17" s="17">
        <v>59</v>
      </c>
      <c r="B17" s="10" t="s">
        <v>41</v>
      </c>
      <c r="C17" s="17">
        <v>100</v>
      </c>
      <c r="D17" s="18">
        <v>1.0619999999999998</v>
      </c>
      <c r="E17" s="18">
        <v>0.17199999999999999</v>
      </c>
      <c r="F17" s="18">
        <v>8.52</v>
      </c>
      <c r="G17" s="18">
        <v>39.9</v>
      </c>
      <c r="H17" s="18">
        <v>0.05</v>
      </c>
      <c r="I17" s="18">
        <v>4.375</v>
      </c>
      <c r="J17" s="18"/>
      <c r="K17" s="18">
        <v>0.34500000000000003</v>
      </c>
      <c r="L17" s="18">
        <v>23.991999999999997</v>
      </c>
      <c r="M17" s="18">
        <v>44.527999999999999</v>
      </c>
      <c r="N17" s="18">
        <v>30.385000000000002</v>
      </c>
      <c r="O17" s="18">
        <v>1.0649999999999999</v>
      </c>
    </row>
    <row r="18" spans="1:15" s="16" customFormat="1" ht="38.25">
      <c r="A18" s="17">
        <v>96</v>
      </c>
      <c r="B18" s="10" t="s">
        <v>135</v>
      </c>
      <c r="C18" s="17">
        <v>250</v>
      </c>
      <c r="D18" s="18">
        <f>8.07/4+0.8</f>
        <v>2.8174999999999999</v>
      </c>
      <c r="E18" s="18">
        <f>(20.36/4)+0.2</f>
        <v>5.29</v>
      </c>
      <c r="F18" s="18">
        <f>47.92/4</f>
        <v>11.98</v>
      </c>
      <c r="G18" s="18">
        <f>429/4+5+30</f>
        <v>142.25</v>
      </c>
      <c r="H18" s="18">
        <f>0.37/4</f>
        <v>9.2499999999999999E-2</v>
      </c>
      <c r="I18" s="18">
        <f>33.5/4</f>
        <v>8.375</v>
      </c>
      <c r="J18" s="18"/>
      <c r="K18" s="18">
        <f>9.4/4</f>
        <v>2.35</v>
      </c>
      <c r="L18" s="18">
        <f>116.6/4+2</f>
        <v>31.15</v>
      </c>
      <c r="M18" s="18">
        <f>226.9/4</f>
        <v>56.725000000000001</v>
      </c>
      <c r="N18" s="18">
        <f>96.7/4</f>
        <v>24.175000000000001</v>
      </c>
      <c r="O18" s="18">
        <f>3.7/4</f>
        <v>0.92500000000000004</v>
      </c>
    </row>
    <row r="19" spans="1:15" s="31" customFormat="1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31" customFormat="1">
      <c r="A21" s="17">
        <v>348</v>
      </c>
      <c r="B21" s="10" t="s">
        <v>63</v>
      </c>
      <c r="C21" s="17">
        <v>200</v>
      </c>
      <c r="D21" s="18">
        <f>3.9/5</f>
        <v>0.78</v>
      </c>
      <c r="E21" s="18">
        <f>0.23/5</f>
        <v>4.5999999999999999E-2</v>
      </c>
      <c r="F21" s="18">
        <f>138.15/5</f>
        <v>27.630000000000003</v>
      </c>
      <c r="G21" s="18">
        <f>574/5</f>
        <v>114.8</v>
      </c>
      <c r="H21" s="18">
        <f>0.08/5</f>
        <v>1.6E-2</v>
      </c>
      <c r="I21" s="18">
        <f>3/5</f>
        <v>0.6</v>
      </c>
      <c r="J21" s="18"/>
      <c r="K21" s="18">
        <f>4.12/5</f>
        <v>0.82400000000000007</v>
      </c>
      <c r="L21" s="18">
        <f>161.6/5</f>
        <v>32.32</v>
      </c>
      <c r="M21" s="18">
        <f>109.5/5</f>
        <v>21.9</v>
      </c>
      <c r="N21" s="18">
        <f>87.8/5</f>
        <v>17.559999999999999</v>
      </c>
      <c r="O21" s="18">
        <f>2.4/5</f>
        <v>0.48</v>
      </c>
    </row>
    <row r="22" spans="1:15" s="31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 ht="15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1" customFormat="1">
      <c r="A24" s="140" t="s">
        <v>11</v>
      </c>
      <c r="B24" s="141"/>
      <c r="C24" s="141"/>
      <c r="D24" s="144">
        <f t="shared" ref="D24:F24" si="1">SUM(D17:D23)</f>
        <v>28.936499999999999</v>
      </c>
      <c r="E24" s="144">
        <f t="shared" si="1"/>
        <v>25.382999999999999</v>
      </c>
      <c r="F24" s="144">
        <f t="shared" si="1"/>
        <v>114.50500000000002</v>
      </c>
      <c r="G24" s="144">
        <f>SUM(G17:G23)</f>
        <v>814.88</v>
      </c>
      <c r="H24" s="142"/>
      <c r="I24" s="142"/>
      <c r="J24" s="142"/>
      <c r="K24" s="142"/>
      <c r="L24" s="142"/>
      <c r="M24" s="142"/>
      <c r="N24" s="142"/>
      <c r="O24" s="142"/>
    </row>
    <row r="25" spans="1:15" ht="15" customHeight="1">
      <c r="A25" s="242" t="s">
        <v>22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</row>
    <row r="26" spans="1:15" s="50" customFormat="1">
      <c r="A26" s="49"/>
      <c r="B26" s="38" t="s">
        <v>162</v>
      </c>
      <c r="C26" s="49">
        <v>20</v>
      </c>
      <c r="D26" s="181">
        <v>1.7</v>
      </c>
      <c r="E26" s="180">
        <v>2.2599999999999998</v>
      </c>
      <c r="F26" s="181">
        <v>13.94</v>
      </c>
      <c r="G26" s="181">
        <v>82.9</v>
      </c>
      <c r="H26" s="181">
        <v>0.02</v>
      </c>
      <c r="I26" s="181"/>
      <c r="J26" s="181">
        <v>13</v>
      </c>
      <c r="K26" s="181">
        <v>0.26</v>
      </c>
      <c r="L26" s="181">
        <v>8.1999999999999993</v>
      </c>
      <c r="M26" s="181">
        <v>17.399999999999999</v>
      </c>
      <c r="N26" s="181">
        <v>3</v>
      </c>
      <c r="O26" s="181">
        <v>0.2</v>
      </c>
    </row>
    <row r="27" spans="1:15" s="31" customFormat="1" ht="18.75" customHeight="1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>
      <c r="A29" s="140" t="s">
        <v>70</v>
      </c>
      <c r="B29" s="141"/>
      <c r="C29" s="141"/>
      <c r="D29" s="144">
        <f>SUM(D26:D28)</f>
        <v>7.9</v>
      </c>
      <c r="E29" s="144">
        <f t="shared" ref="E29:G29" si="2">SUM(E26:E28)</f>
        <v>7.66</v>
      </c>
      <c r="F29" s="144">
        <f t="shared" si="2"/>
        <v>33.340000000000003</v>
      </c>
      <c r="G29" s="144">
        <f t="shared" si="2"/>
        <v>236.9</v>
      </c>
      <c r="H29" s="142"/>
      <c r="I29" s="142"/>
      <c r="J29" s="142"/>
      <c r="K29" s="142"/>
      <c r="L29" s="142"/>
      <c r="M29" s="142"/>
      <c r="N29" s="142"/>
      <c r="O29" s="142"/>
    </row>
    <row r="30" spans="1:15">
      <c r="A30" s="35" t="s">
        <v>15</v>
      </c>
      <c r="B30" s="36"/>
      <c r="C30" s="36"/>
      <c r="D30" s="37">
        <f t="shared" ref="D30:F30" si="3">SUM(D8:D14)+SUM(D17:D23)+SUM(D26:D28)</f>
        <v>58.914499999999997</v>
      </c>
      <c r="E30" s="37">
        <f t="shared" si="3"/>
        <v>58.727000000000004</v>
      </c>
      <c r="F30" s="37">
        <f t="shared" si="3"/>
        <v>239.73300000000003</v>
      </c>
      <c r="G30" s="37">
        <f>SUM(G8:G14)+SUM(G17:G23)+SUM(G26:G28)</f>
        <v>1738.9</v>
      </c>
      <c r="H30" s="37"/>
      <c r="I30" s="37"/>
      <c r="J30" s="37"/>
      <c r="K30" s="37"/>
      <c r="L30" s="37"/>
      <c r="M30" s="37"/>
      <c r="N30" s="37"/>
      <c r="O30" s="37"/>
    </row>
    <row r="31" spans="1:15" ht="13.5" thickBot="1"/>
    <row r="32" spans="1:15" ht="39" thickBot="1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  <c r="K32" s="27" t="s">
        <v>45</v>
      </c>
      <c r="L32" s="28" t="s">
        <v>46</v>
      </c>
    </row>
    <row r="33" spans="2:15" ht="13.5" thickBot="1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  <c r="K33" s="27" t="s">
        <v>47</v>
      </c>
      <c r="L33" s="28" t="s">
        <v>48</v>
      </c>
    </row>
    <row r="34" spans="2:15" ht="26.25" thickBot="1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  <c r="K34" s="27" t="s">
        <v>49</v>
      </c>
      <c r="L34" s="28" t="s">
        <v>50</v>
      </c>
    </row>
    <row r="35" spans="2:15" ht="26.25" thickBot="1">
      <c r="B35" s="217" t="s">
        <v>77</v>
      </c>
      <c r="C35" s="218"/>
      <c r="D35" s="218"/>
      <c r="E35" s="218"/>
      <c r="F35" s="44">
        <f>D30</f>
        <v>58.914499999999997</v>
      </c>
      <c r="G35" s="44">
        <f>E30</f>
        <v>58.727000000000004</v>
      </c>
      <c r="H35" s="44">
        <f>F30</f>
        <v>239.73300000000003</v>
      </c>
      <c r="I35" s="44">
        <f>G30</f>
        <v>1738.9</v>
      </c>
      <c r="K35" s="27" t="s">
        <v>51</v>
      </c>
      <c r="L35" s="28" t="s">
        <v>52</v>
      </c>
    </row>
    <row r="36" spans="2:15">
      <c r="O36" s="51"/>
    </row>
    <row r="37" spans="2:15" ht="28.5" customHeight="1">
      <c r="B37" s="249" t="s">
        <v>127</v>
      </c>
      <c r="C37" s="249"/>
      <c r="D37" s="249"/>
      <c r="E37" s="249"/>
      <c r="F37" s="249"/>
      <c r="G37" s="249"/>
      <c r="H37" s="249"/>
      <c r="I37" s="52"/>
      <c r="J37" s="52"/>
      <c r="K37" s="52"/>
      <c r="L37" s="52"/>
      <c r="M37" s="52"/>
      <c r="N37" s="52"/>
      <c r="O37" s="52"/>
    </row>
    <row r="38" spans="2:15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</row>
    <row r="39" spans="2:15" ht="25.5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J39" s="53"/>
    </row>
    <row r="40" spans="2:15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</row>
    <row r="41" spans="2:15">
      <c r="B41" s="97" t="s">
        <v>93</v>
      </c>
      <c r="C41" s="252">
        <v>80</v>
      </c>
      <c r="D41" s="253"/>
      <c r="E41" s="252">
        <v>80</v>
      </c>
      <c r="F41" s="253"/>
      <c r="G41" s="98">
        <f>40</f>
        <v>40</v>
      </c>
      <c r="H41" s="98">
        <v>40</v>
      </c>
    </row>
    <row r="42" spans="2:15">
      <c r="B42" s="97" t="s">
        <v>94</v>
      </c>
      <c r="C42" s="252">
        <v>150</v>
      </c>
      <c r="D42" s="253"/>
      <c r="E42" s="252">
        <v>150</v>
      </c>
      <c r="F42" s="253"/>
      <c r="G42" s="98">
        <f>C10+C23</f>
        <v>70</v>
      </c>
      <c r="H42" s="98">
        <f>70</f>
        <v>70</v>
      </c>
    </row>
    <row r="43" spans="2:15">
      <c r="B43" s="97" t="s">
        <v>95</v>
      </c>
      <c r="C43" s="252">
        <v>15</v>
      </c>
      <c r="D43" s="253"/>
      <c r="E43" s="252">
        <v>15</v>
      </c>
      <c r="F43" s="253"/>
      <c r="G43" s="98">
        <f>2</f>
        <v>2</v>
      </c>
      <c r="H43" s="98">
        <v>2</v>
      </c>
    </row>
    <row r="44" spans="2:15">
      <c r="B44" s="99" t="s">
        <v>96</v>
      </c>
      <c r="C44" s="254">
        <v>45</v>
      </c>
      <c r="D44" s="255"/>
      <c r="E44" s="254">
        <v>45</v>
      </c>
      <c r="F44" s="255"/>
      <c r="G44" s="100">
        <f>44+5</f>
        <v>49</v>
      </c>
      <c r="H44" s="100">
        <v>49</v>
      </c>
    </row>
    <row r="45" spans="2:15">
      <c r="B45" s="97" t="s">
        <v>97</v>
      </c>
      <c r="C45" s="252">
        <v>15</v>
      </c>
      <c r="D45" s="253"/>
      <c r="E45" s="252">
        <v>15</v>
      </c>
      <c r="F45" s="253"/>
      <c r="G45" s="98">
        <v>52.5</v>
      </c>
      <c r="H45" s="98">
        <v>52.5</v>
      </c>
    </row>
    <row r="46" spans="2:15" ht="12.75" customHeight="1">
      <c r="B46" s="97" t="s">
        <v>98</v>
      </c>
      <c r="C46" s="252" t="s">
        <v>99</v>
      </c>
      <c r="D46" s="253"/>
      <c r="E46" s="256">
        <v>188</v>
      </c>
      <c r="F46" s="257"/>
      <c r="G46" s="98">
        <v>100</v>
      </c>
      <c r="H46" s="98">
        <v>75</v>
      </c>
    </row>
    <row r="47" spans="2:15">
      <c r="B47" s="97" t="s">
        <v>100</v>
      </c>
      <c r="C47" s="252">
        <v>350</v>
      </c>
      <c r="D47" s="253"/>
      <c r="E47" s="252" t="s">
        <v>101</v>
      </c>
      <c r="F47" s="253"/>
      <c r="G47" s="98">
        <f>16.75+12.5+6+43.8+12+12+3+2.5+12.5</f>
        <v>121.05</v>
      </c>
      <c r="H47" s="131">
        <f>2+2+10+10+10.75+10+15+10</f>
        <v>69.75</v>
      </c>
    </row>
    <row r="48" spans="2:15">
      <c r="B48" s="97" t="s">
        <v>102</v>
      </c>
      <c r="C48" s="252">
        <v>200</v>
      </c>
      <c r="D48" s="253"/>
      <c r="E48" s="252" t="s">
        <v>103</v>
      </c>
      <c r="F48" s="253"/>
      <c r="G48" s="98">
        <f>100+35.7</f>
        <v>135.69999999999999</v>
      </c>
      <c r="H48" s="98">
        <f>100+25</f>
        <v>125</v>
      </c>
    </row>
    <row r="49" spans="2:8" ht="25.5">
      <c r="B49" s="97" t="s">
        <v>104</v>
      </c>
      <c r="C49" s="252">
        <v>15</v>
      </c>
      <c r="D49" s="253"/>
      <c r="E49" s="252">
        <v>15</v>
      </c>
      <c r="F49" s="253"/>
      <c r="G49" s="98">
        <v>20</v>
      </c>
      <c r="H49" s="98">
        <v>37</v>
      </c>
    </row>
    <row r="50" spans="2:8" ht="38.25">
      <c r="B50" s="97" t="s">
        <v>105</v>
      </c>
      <c r="C50" s="252">
        <v>200</v>
      </c>
      <c r="D50" s="253"/>
      <c r="E50" s="252">
        <v>200</v>
      </c>
      <c r="F50" s="253"/>
      <c r="G50" s="98"/>
      <c r="H50" s="98"/>
    </row>
    <row r="51" spans="2:8" ht="25.5">
      <c r="B51" s="97" t="s">
        <v>106</v>
      </c>
      <c r="C51" s="252" t="s">
        <v>107</v>
      </c>
      <c r="D51" s="253"/>
      <c r="E51" s="252">
        <v>70</v>
      </c>
      <c r="F51" s="253"/>
      <c r="G51" s="131">
        <f>150</f>
        <v>150</v>
      </c>
      <c r="H51" s="98">
        <f>81+25</f>
        <v>106</v>
      </c>
    </row>
    <row r="52" spans="2:8" ht="25.5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>
      <c r="B55" s="97" t="s">
        <v>112</v>
      </c>
      <c r="C55" s="252">
        <v>300</v>
      </c>
      <c r="D55" s="253"/>
      <c r="E55" s="252">
        <v>300</v>
      </c>
      <c r="F55" s="253"/>
      <c r="G55" s="98">
        <f>211+100+100</f>
        <v>411</v>
      </c>
      <c r="H55" s="98">
        <f>200+100+100</f>
        <v>400</v>
      </c>
    </row>
    <row r="56" spans="2:8" ht="25.5"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2:8" ht="25.5"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2:8"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2:8" ht="25.5">
      <c r="B59" s="97" t="s">
        <v>116</v>
      </c>
      <c r="C59" s="252">
        <v>10</v>
      </c>
      <c r="D59" s="253"/>
      <c r="E59" s="252">
        <v>10</v>
      </c>
      <c r="F59" s="253"/>
      <c r="G59" s="103"/>
      <c r="H59" s="103"/>
    </row>
    <row r="60" spans="2:8">
      <c r="B60" s="97" t="s">
        <v>117</v>
      </c>
      <c r="C60" s="252">
        <v>30</v>
      </c>
      <c r="D60" s="253"/>
      <c r="E60" s="252">
        <v>30</v>
      </c>
      <c r="F60" s="253"/>
      <c r="G60" s="98">
        <f>4.5+5+10</f>
        <v>19.5</v>
      </c>
      <c r="H60" s="98">
        <v>19.5</v>
      </c>
    </row>
    <row r="61" spans="2:8">
      <c r="B61" s="97" t="s">
        <v>118</v>
      </c>
      <c r="C61" s="252">
        <v>15</v>
      </c>
      <c r="D61" s="253"/>
      <c r="E61" s="252">
        <v>15</v>
      </c>
      <c r="F61" s="253"/>
      <c r="G61" s="98">
        <v>10</v>
      </c>
      <c r="H61" s="98">
        <v>10</v>
      </c>
    </row>
    <row r="62" spans="2:8">
      <c r="B62" s="97" t="s">
        <v>119</v>
      </c>
      <c r="C62" s="252" t="s">
        <v>120</v>
      </c>
      <c r="D62" s="253"/>
      <c r="E62" s="252">
        <v>40</v>
      </c>
      <c r="F62" s="253"/>
      <c r="G62" s="98">
        <f>2.1</f>
        <v>2.1</v>
      </c>
      <c r="H62" s="98">
        <v>2.1</v>
      </c>
    </row>
    <row r="63" spans="2:8">
      <c r="B63" s="97" t="s">
        <v>121</v>
      </c>
      <c r="C63" s="252">
        <v>40</v>
      </c>
      <c r="D63" s="253"/>
      <c r="E63" s="256">
        <v>40</v>
      </c>
      <c r="F63" s="257"/>
      <c r="G63" s="131">
        <f>20+6</f>
        <v>26</v>
      </c>
      <c r="H63" s="98">
        <v>26</v>
      </c>
    </row>
    <row r="64" spans="2:8">
      <c r="B64" s="97" t="s">
        <v>122</v>
      </c>
      <c r="C64" s="256">
        <v>10</v>
      </c>
      <c r="D64" s="257"/>
      <c r="E64" s="252">
        <v>10</v>
      </c>
      <c r="F64" s="253"/>
      <c r="G64" s="98">
        <v>20</v>
      </c>
      <c r="H64" s="98">
        <v>20</v>
      </c>
    </row>
    <row r="65" spans="2:8"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2:8">
      <c r="B66" s="97" t="s">
        <v>124</v>
      </c>
      <c r="C66" s="252">
        <v>1.2</v>
      </c>
      <c r="D66" s="253"/>
      <c r="E66" s="252">
        <v>1.2</v>
      </c>
      <c r="F66" s="253"/>
      <c r="G66" s="98">
        <v>4</v>
      </c>
      <c r="H66" s="98">
        <v>4</v>
      </c>
    </row>
    <row r="67" spans="2:8">
      <c r="B67" s="97" t="s">
        <v>125</v>
      </c>
      <c r="C67" s="252">
        <v>1</v>
      </c>
      <c r="D67" s="253"/>
      <c r="E67" s="252">
        <v>1</v>
      </c>
      <c r="F67" s="253"/>
      <c r="G67" s="98"/>
      <c r="H67" s="98"/>
    </row>
    <row r="68" spans="2:8">
      <c r="B68" s="97" t="s">
        <v>126</v>
      </c>
      <c r="C68" s="252">
        <v>5</v>
      </c>
      <c r="D68" s="253"/>
      <c r="E68" s="252">
        <v>5</v>
      </c>
      <c r="F68" s="253"/>
      <c r="G68" s="98">
        <v>5</v>
      </c>
      <c r="H68" s="98">
        <v>5</v>
      </c>
    </row>
    <row r="76" spans="2:8" ht="15">
      <c r="B76"/>
      <c r="C76"/>
      <c r="D76"/>
      <c r="E76"/>
      <c r="F76"/>
    </row>
    <row r="77" spans="2:8" ht="15">
      <c r="B77" s="52"/>
      <c r="C77"/>
      <c r="D77"/>
      <c r="E77"/>
      <c r="F77"/>
    </row>
    <row r="78" spans="2:8" ht="15">
      <c r="B78"/>
      <c r="C78"/>
      <c r="D78"/>
      <c r="E78"/>
      <c r="F78"/>
    </row>
    <row r="79" spans="2:8" ht="15">
      <c r="B79" s="52"/>
      <c r="C79"/>
      <c r="D79"/>
      <c r="E79"/>
      <c r="F79"/>
    </row>
    <row r="80" spans="2:8" ht="15">
      <c r="B80"/>
      <c r="C80"/>
      <c r="D80"/>
      <c r="E80"/>
      <c r="F80"/>
    </row>
    <row r="81" spans="2:6" ht="15">
      <c r="B81" s="52"/>
      <c r="C81"/>
      <c r="D81"/>
      <c r="E81"/>
      <c r="F81"/>
    </row>
    <row r="82" spans="2:6" ht="15">
      <c r="B82"/>
      <c r="C82"/>
      <c r="D82"/>
      <c r="E82"/>
      <c r="F82"/>
    </row>
    <row r="83" spans="2:6" ht="15">
      <c r="B83" s="52"/>
      <c r="C83"/>
      <c r="D83"/>
      <c r="E83"/>
      <c r="F83"/>
    </row>
    <row r="84" spans="2:6" ht="15">
      <c r="B84"/>
      <c r="C84"/>
      <c r="D84"/>
      <c r="E84"/>
      <c r="F84"/>
    </row>
    <row r="85" spans="2:6" ht="15">
      <c r="B85" s="52"/>
      <c r="C85"/>
      <c r="D85"/>
      <c r="E85"/>
      <c r="F85"/>
    </row>
  </sheetData>
  <sheetProtection formatCells="0" formatColumns="0" formatRows="0" insertColumns="0" insertRows="0" insertHyperlinks="0" deleteColumns="0" deleteRows="0" sort="0" autoFilter="0" pivotTables="0"/>
  <mergeCells count="80">
    <mergeCell ref="E46:F46"/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C66:D66"/>
    <mergeCell ref="C67:D67"/>
    <mergeCell ref="C68:D68"/>
    <mergeCell ref="E40:F40"/>
    <mergeCell ref="E41:F41"/>
    <mergeCell ref="E42:F42"/>
    <mergeCell ref="E43:F43"/>
    <mergeCell ref="E44:F44"/>
    <mergeCell ref="E45:F45"/>
    <mergeCell ref="E47:F47"/>
    <mergeCell ref="E48:F48"/>
    <mergeCell ref="E49:F49"/>
    <mergeCell ref="E50:F50"/>
    <mergeCell ref="E51:F51"/>
    <mergeCell ref="E52:F52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8:F38"/>
    <mergeCell ref="E39:F39"/>
    <mergeCell ref="B39:B40"/>
    <mergeCell ref="B37:H37"/>
    <mergeCell ref="G38:H38"/>
    <mergeCell ref="C40:D40"/>
    <mergeCell ref="C39:D39"/>
    <mergeCell ref="B32:E33"/>
    <mergeCell ref="F32:H32"/>
    <mergeCell ref="B34:E34"/>
    <mergeCell ref="B35:E35"/>
    <mergeCell ref="L5:O5"/>
    <mergeCell ref="G5:G6"/>
    <mergeCell ref="A7:O7"/>
    <mergeCell ref="D5:F5"/>
    <mergeCell ref="H5:K5"/>
    <mergeCell ref="C5:C6"/>
    <mergeCell ref="B5:B6"/>
    <mergeCell ref="A5:A6"/>
    <mergeCell ref="A9:A12"/>
    <mergeCell ref="D10:O12"/>
    <mergeCell ref="A16:O16"/>
    <mergeCell ref="A25:O25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3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S73"/>
  <sheetViews>
    <sheetView view="pageBreakPreview" zoomScale="80" zoomScaleNormal="80" zoomScaleSheetLayoutView="80" workbookViewId="0">
      <selection activeCell="G62" sqref="G62"/>
    </sheetView>
  </sheetViews>
  <sheetFormatPr defaultRowHeight="15"/>
  <cols>
    <col min="1" max="1" width="13" style="75" customWidth="1"/>
    <col min="2" max="2" width="28.7109375" style="75" customWidth="1"/>
    <col min="3" max="3" width="15.7109375" style="108" bestFit="1" customWidth="1"/>
    <col min="4" max="5" width="9.140625" style="75"/>
    <col min="6" max="6" width="9.5703125" style="75" bestFit="1" customWidth="1"/>
    <col min="7" max="7" width="13" style="75" customWidth="1"/>
    <col min="8" max="8" width="9.140625" style="75"/>
    <col min="9" max="9" width="9.5703125" style="75" bestFit="1" customWidth="1"/>
    <col min="10" max="11" width="9.140625" style="75"/>
    <col min="12" max="14" width="9.5703125" style="75" bestFit="1" customWidth="1"/>
    <col min="15" max="16384" width="9.140625" style="75"/>
  </cols>
  <sheetData>
    <row r="1" spans="1:19" ht="15.75">
      <c r="A1" s="73" t="s">
        <v>45</v>
      </c>
      <c r="B1" s="74" t="s">
        <v>55</v>
      </c>
    </row>
    <row r="2" spans="1:19" ht="15.75">
      <c r="A2" s="73" t="s">
        <v>47</v>
      </c>
      <c r="B2" s="74" t="s">
        <v>48</v>
      </c>
    </row>
    <row r="3" spans="1:19" ht="15.75">
      <c r="A3" s="73" t="s">
        <v>49</v>
      </c>
      <c r="B3" s="74" t="s">
        <v>50</v>
      </c>
    </row>
    <row r="4" spans="1:19" ht="31.5">
      <c r="A4" s="73" t="s">
        <v>51</v>
      </c>
      <c r="B4" s="74" t="s">
        <v>52</v>
      </c>
    </row>
    <row r="5" spans="1:19" ht="15.75">
      <c r="A5" s="261" t="s">
        <v>32</v>
      </c>
      <c r="B5" s="261" t="s">
        <v>21</v>
      </c>
      <c r="C5" s="264" t="s">
        <v>24</v>
      </c>
      <c r="D5" s="258" t="s">
        <v>35</v>
      </c>
      <c r="E5" s="259"/>
      <c r="F5" s="260"/>
      <c r="G5" s="261" t="s">
        <v>0</v>
      </c>
      <c r="H5" s="258" t="s">
        <v>34</v>
      </c>
      <c r="I5" s="259"/>
      <c r="J5" s="259"/>
      <c r="K5" s="260"/>
      <c r="L5" s="258" t="s">
        <v>33</v>
      </c>
      <c r="M5" s="259"/>
      <c r="N5" s="259"/>
      <c r="O5" s="260"/>
    </row>
    <row r="6" spans="1:19" ht="15.75">
      <c r="A6" s="262"/>
      <c r="B6" s="263"/>
      <c r="C6" s="265"/>
      <c r="D6" s="76" t="s">
        <v>1</v>
      </c>
      <c r="E6" s="76" t="s">
        <v>2</v>
      </c>
      <c r="F6" s="76" t="s">
        <v>3</v>
      </c>
      <c r="G6" s="262"/>
      <c r="H6" s="76" t="s">
        <v>147</v>
      </c>
      <c r="I6" s="76" t="s">
        <v>4</v>
      </c>
      <c r="J6" s="76" t="s">
        <v>5</v>
      </c>
      <c r="K6" s="76" t="s">
        <v>6</v>
      </c>
      <c r="L6" s="76" t="s">
        <v>7</v>
      </c>
      <c r="M6" s="76" t="s">
        <v>8</v>
      </c>
      <c r="N6" s="76" t="s">
        <v>9</v>
      </c>
      <c r="O6" s="76" t="s">
        <v>10</v>
      </c>
    </row>
    <row r="7" spans="1:19" ht="18.75">
      <c r="A7" s="275" t="s">
        <v>42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</row>
    <row r="8" spans="1:19" s="80" customFormat="1" ht="25.5">
      <c r="A8" s="277">
        <v>218</v>
      </c>
      <c r="B8" s="78" t="s">
        <v>71</v>
      </c>
      <c r="C8" s="109">
        <v>130</v>
      </c>
      <c r="D8" s="79">
        <v>16.329999999999998</v>
      </c>
      <c r="E8" s="79">
        <v>8</v>
      </c>
      <c r="F8" s="79">
        <v>16.309999999999999</v>
      </c>
      <c r="G8" s="79">
        <v>203</v>
      </c>
      <c r="H8" s="79">
        <v>0.05</v>
      </c>
      <c r="I8" s="79">
        <v>0.37</v>
      </c>
      <c r="J8" s="79">
        <v>56.1</v>
      </c>
      <c r="K8" s="79">
        <v>0.32</v>
      </c>
      <c r="L8" s="79">
        <v>132.81</v>
      </c>
      <c r="M8" s="79">
        <v>167.3</v>
      </c>
      <c r="N8" s="79">
        <v>21</v>
      </c>
      <c r="O8" s="79">
        <v>0.4</v>
      </c>
    </row>
    <row r="9" spans="1:19" s="80" customFormat="1" ht="12.75">
      <c r="A9" s="278"/>
      <c r="B9" s="56" t="s">
        <v>149</v>
      </c>
      <c r="C9" s="109">
        <v>30</v>
      </c>
      <c r="D9" s="287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9"/>
    </row>
    <row r="10" spans="1:19" s="84" customFormat="1">
      <c r="A10" s="228">
        <v>2</v>
      </c>
      <c r="B10" s="10" t="s">
        <v>150</v>
      </c>
      <c r="C10" s="119">
        <v>60</v>
      </c>
      <c r="D10" s="114">
        <v>3.7</v>
      </c>
      <c r="E10" s="114">
        <v>8.5</v>
      </c>
      <c r="F10" s="114">
        <v>26.25</v>
      </c>
      <c r="G10" s="114">
        <v>155</v>
      </c>
      <c r="H10" s="114">
        <v>3.4000000000000002E-2</v>
      </c>
      <c r="I10" s="114"/>
      <c r="J10" s="114">
        <v>0.13</v>
      </c>
      <c r="K10" s="114">
        <v>0.44</v>
      </c>
      <c r="L10" s="114">
        <v>8.4</v>
      </c>
      <c r="M10" s="114">
        <v>22.5</v>
      </c>
      <c r="N10" s="114">
        <v>4.2</v>
      </c>
      <c r="O10" s="114">
        <v>0.35</v>
      </c>
      <c r="P10" s="116"/>
      <c r="Q10" s="116"/>
      <c r="R10" s="116"/>
      <c r="S10" s="116"/>
    </row>
    <row r="11" spans="1:19" s="80" customFormat="1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>
      <c r="A13" s="178">
        <v>377</v>
      </c>
      <c r="B13" s="10" t="s">
        <v>160</v>
      </c>
      <c r="C13" s="179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>
      <c r="A14" s="145" t="s">
        <v>11</v>
      </c>
      <c r="B14" s="146"/>
      <c r="C14" s="147"/>
      <c r="D14" s="148">
        <f>SUM(D8:D13)</f>
        <v>20.429999999999996</v>
      </c>
      <c r="E14" s="148">
        <f t="shared" ref="E14:G14" si="0">SUM(E8:E13)</f>
        <v>16.602</v>
      </c>
      <c r="F14" s="148">
        <f t="shared" si="0"/>
        <v>42.64</v>
      </c>
      <c r="G14" s="148">
        <f t="shared" si="0"/>
        <v>364.4</v>
      </c>
      <c r="H14" s="148"/>
      <c r="I14" s="148"/>
      <c r="J14" s="148"/>
      <c r="K14" s="148"/>
      <c r="L14" s="148"/>
      <c r="M14" s="148"/>
      <c r="N14" s="148"/>
      <c r="O14" s="148"/>
      <c r="P14" s="105"/>
      <c r="Q14" s="105"/>
      <c r="R14" s="105"/>
      <c r="S14" s="105"/>
    </row>
    <row r="15" spans="1:19" ht="18.75">
      <c r="A15" s="285" t="s">
        <v>23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105"/>
      <c r="Q15" s="105"/>
      <c r="R15" s="105"/>
      <c r="S15" s="105"/>
    </row>
    <row r="16" spans="1:19" s="84" customFormat="1" ht="38.25">
      <c r="A16" s="77">
        <v>67</v>
      </c>
      <c r="B16" s="78" t="s">
        <v>130</v>
      </c>
      <c r="C16" s="109">
        <v>100</v>
      </c>
      <c r="D16" s="79">
        <v>1.4</v>
      </c>
      <c r="E16" s="79">
        <v>10.039999999999999</v>
      </c>
      <c r="F16" s="79">
        <v>7.29</v>
      </c>
      <c r="G16" s="79">
        <f>125.1</f>
        <v>125.1</v>
      </c>
      <c r="H16" s="79">
        <f>0.44/10</f>
        <v>4.3999999999999997E-2</v>
      </c>
      <c r="I16" s="79">
        <v>9.6300000000000008</v>
      </c>
      <c r="J16" s="79"/>
      <c r="K16" s="79">
        <v>4.5</v>
      </c>
      <c r="L16" s="79">
        <v>31.23</v>
      </c>
      <c r="M16" s="79">
        <v>43.27</v>
      </c>
      <c r="N16" s="79">
        <v>19.53</v>
      </c>
      <c r="O16" s="115">
        <v>0.83</v>
      </c>
      <c r="P16" s="116"/>
      <c r="Q16" s="116"/>
      <c r="R16" s="116"/>
      <c r="S16" s="116"/>
    </row>
    <row r="17" spans="1:15" ht="25.5">
      <c r="A17" s="85">
        <v>82</v>
      </c>
      <c r="B17" s="86" t="s">
        <v>129</v>
      </c>
      <c r="C17" s="111">
        <v>250</v>
      </c>
      <c r="D17" s="82">
        <f>(7.21/4)+0.8</f>
        <v>2.6025</v>
      </c>
      <c r="E17" s="82">
        <f>(19.68/4)+0.2</f>
        <v>5.12</v>
      </c>
      <c r="F17" s="82">
        <f>43.73/4</f>
        <v>10.932499999999999</v>
      </c>
      <c r="G17" s="82">
        <f>(415/4)+5+30</f>
        <v>138.75</v>
      </c>
      <c r="H17" s="82">
        <f>0.2/4</f>
        <v>0.05</v>
      </c>
      <c r="I17" s="82">
        <f>42.7/4</f>
        <v>10.675000000000001</v>
      </c>
      <c r="J17" s="82"/>
      <c r="K17" s="82">
        <f>9.6/4</f>
        <v>2.4</v>
      </c>
      <c r="L17" s="82">
        <f>(198.9/4)+2</f>
        <v>51.725000000000001</v>
      </c>
      <c r="M17" s="82">
        <f>218.4/4</f>
        <v>54.6</v>
      </c>
      <c r="N17" s="82">
        <f>104.5/4</f>
        <v>26.125</v>
      </c>
      <c r="O17" s="82">
        <f>4.9/4</f>
        <v>1.2250000000000001</v>
      </c>
    </row>
    <row r="18" spans="1:15" s="84" customFormat="1" ht="25.5">
      <c r="A18" s="77">
        <v>229</v>
      </c>
      <c r="B18" s="78" t="s">
        <v>84</v>
      </c>
      <c r="C18" s="109">
        <v>100</v>
      </c>
      <c r="D18" s="79">
        <v>9.75</v>
      </c>
      <c r="E18" s="79">
        <v>4.95</v>
      </c>
      <c r="F18" s="79">
        <v>3.8</v>
      </c>
      <c r="G18" s="79">
        <v>105</v>
      </c>
      <c r="H18" s="79">
        <v>0.05</v>
      </c>
      <c r="I18" s="79">
        <v>3.73</v>
      </c>
      <c r="J18" s="79">
        <v>5.82</v>
      </c>
      <c r="K18" s="79">
        <v>2.52</v>
      </c>
      <c r="L18" s="79">
        <v>39.07</v>
      </c>
      <c r="M18" s="79">
        <v>162.19</v>
      </c>
      <c r="N18" s="79">
        <v>48.53</v>
      </c>
      <c r="O18" s="79">
        <v>0.85</v>
      </c>
    </row>
    <row r="19" spans="1:15">
      <c r="A19" s="81">
        <v>312</v>
      </c>
      <c r="B19" s="78" t="s">
        <v>13</v>
      </c>
      <c r="C19" s="110">
        <v>150</v>
      </c>
      <c r="D19" s="82">
        <f>20.473/100*15</f>
        <v>3.0709499999999998</v>
      </c>
      <c r="E19" s="82">
        <f>32.01/100/15</f>
        <v>2.1340000000000001E-2</v>
      </c>
      <c r="F19" s="82">
        <f>136.26/100*15</f>
        <v>20.438999999999997</v>
      </c>
      <c r="G19" s="82">
        <f>915/100*15</f>
        <v>137.25</v>
      </c>
      <c r="H19" s="82">
        <f>0.93/100*15</f>
        <v>0.13950000000000001</v>
      </c>
      <c r="I19" s="82">
        <f>121.07/100*15</f>
        <v>18.160499999999999</v>
      </c>
      <c r="J19" s="82"/>
      <c r="K19" s="82">
        <f>1.21/100*15</f>
        <v>0.18149999999999999</v>
      </c>
      <c r="L19" s="82">
        <f>246.5/100*15</f>
        <v>36.974999999999994</v>
      </c>
      <c r="M19" s="82">
        <f>577.3/100*15</f>
        <v>86.594999999999999</v>
      </c>
      <c r="N19" s="82">
        <f>185/100*15</f>
        <v>27.75</v>
      </c>
      <c r="O19" s="82">
        <f>6.73/100*15</f>
        <v>1.0095000000000001</v>
      </c>
    </row>
    <row r="20" spans="1:15" s="16" customFormat="1">
      <c r="A20" s="136">
        <v>389</v>
      </c>
      <c r="B20" s="10" t="s">
        <v>156</v>
      </c>
      <c r="C20" s="132">
        <v>200</v>
      </c>
      <c r="D20" s="133">
        <f>1</f>
        <v>1</v>
      </c>
      <c r="E20" s="132">
        <v>0</v>
      </c>
      <c r="F20" s="133">
        <f>101/5</f>
        <v>20.2</v>
      </c>
      <c r="G20" s="132">
        <f>424/5</f>
        <v>84.8</v>
      </c>
      <c r="H20" s="133">
        <f>0.11/5</f>
        <v>2.1999999999999999E-2</v>
      </c>
      <c r="I20" s="132">
        <f>30/5</f>
        <v>6</v>
      </c>
      <c r="J20" s="133">
        <v>0</v>
      </c>
      <c r="K20" s="132">
        <f>1/5</f>
        <v>0.2</v>
      </c>
      <c r="L20" s="133">
        <f>70/5</f>
        <v>14</v>
      </c>
      <c r="M20" s="132">
        <f>70/5</f>
        <v>14</v>
      </c>
      <c r="N20" s="133">
        <f>40/5</f>
        <v>8</v>
      </c>
      <c r="O20" s="134">
        <f>14/5</f>
        <v>2.8</v>
      </c>
    </row>
    <row r="21" spans="1:15" s="31" customFormat="1" ht="12.75">
      <c r="A21" s="56"/>
      <c r="B21" s="10" t="s">
        <v>14</v>
      </c>
      <c r="C21" s="139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84" customFormat="1">
      <c r="A23" s="149" t="s">
        <v>11</v>
      </c>
      <c r="B23" s="150"/>
      <c r="C23" s="151"/>
      <c r="D23" s="152">
        <f>SUM(D16:D22)</f>
        <v>23.223450000000003</v>
      </c>
      <c r="E23" s="152">
        <f t="shared" ref="E23:F23" si="1">SUM(E16:E22)</f>
        <v>21.411339999999996</v>
      </c>
      <c r="F23" s="152">
        <f t="shared" si="1"/>
        <v>101.7415</v>
      </c>
      <c r="G23" s="152">
        <f>SUM(G16:G22)</f>
        <v>776.38</v>
      </c>
      <c r="H23" s="153"/>
      <c r="I23" s="153"/>
      <c r="J23" s="153"/>
      <c r="K23" s="153"/>
      <c r="L23" s="153"/>
      <c r="M23" s="153"/>
      <c r="N23" s="153"/>
      <c r="O23" s="153"/>
    </row>
    <row r="24" spans="1:15" s="84" customFormat="1" ht="18.75">
      <c r="A24" s="285" t="s">
        <v>22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6"/>
    </row>
    <row r="25" spans="1:15" s="80" customFormat="1" ht="12.75">
      <c r="A25" s="77">
        <v>403</v>
      </c>
      <c r="B25" s="10" t="s">
        <v>157</v>
      </c>
      <c r="C25" s="138" t="s">
        <v>158</v>
      </c>
      <c r="D25" s="79">
        <v>10.7</v>
      </c>
      <c r="E25" s="79">
        <v>11.23</v>
      </c>
      <c r="F25" s="79">
        <v>68.44</v>
      </c>
      <c r="G25" s="79">
        <v>418</v>
      </c>
      <c r="H25" s="79">
        <v>0.22</v>
      </c>
      <c r="I25" s="79">
        <v>1.61</v>
      </c>
      <c r="J25" s="79">
        <v>25.2</v>
      </c>
      <c r="K25" s="79">
        <v>5.52</v>
      </c>
      <c r="L25" s="79">
        <v>119.18</v>
      </c>
      <c r="M25" s="79">
        <v>173.6</v>
      </c>
      <c r="N25" s="79">
        <v>47.77</v>
      </c>
      <c r="O25" s="79">
        <v>2.2999999999999998</v>
      </c>
    </row>
    <row r="26" spans="1:15" s="84" customFormat="1">
      <c r="A26" s="77">
        <v>338</v>
      </c>
      <c r="B26" s="78" t="s">
        <v>69</v>
      </c>
      <c r="C26" s="109">
        <v>100</v>
      </c>
      <c r="D26" s="79">
        <v>1.5</v>
      </c>
      <c r="E26" s="79">
        <v>0.5</v>
      </c>
      <c r="F26" s="79">
        <v>21</v>
      </c>
      <c r="G26" s="79">
        <v>96</v>
      </c>
      <c r="H26" s="79">
        <v>0.04</v>
      </c>
      <c r="I26" s="79">
        <v>10</v>
      </c>
      <c r="J26" s="79"/>
      <c r="K26" s="79">
        <v>0.4</v>
      </c>
      <c r="L26" s="79">
        <v>8</v>
      </c>
      <c r="M26" s="79">
        <v>28</v>
      </c>
      <c r="N26" s="79">
        <v>42</v>
      </c>
      <c r="O26" s="79">
        <v>0.6</v>
      </c>
    </row>
    <row r="27" spans="1:15" s="84" customFormat="1">
      <c r="A27" s="77">
        <v>386</v>
      </c>
      <c r="B27" s="78" t="s">
        <v>72</v>
      </c>
      <c r="C27" s="109">
        <v>200</v>
      </c>
      <c r="D27" s="79">
        <v>5.8</v>
      </c>
      <c r="E27" s="79">
        <v>5</v>
      </c>
      <c r="F27" s="79">
        <v>8</v>
      </c>
      <c r="G27" s="79">
        <v>100</v>
      </c>
      <c r="H27" s="79">
        <v>0.08</v>
      </c>
      <c r="I27" s="79">
        <v>1.4</v>
      </c>
      <c r="J27" s="79">
        <v>40</v>
      </c>
      <c r="K27" s="79"/>
      <c r="L27" s="79">
        <v>240</v>
      </c>
      <c r="M27" s="79">
        <v>180</v>
      </c>
      <c r="N27" s="79">
        <v>28</v>
      </c>
      <c r="O27" s="79">
        <v>0.2</v>
      </c>
    </row>
    <row r="28" spans="1:15">
      <c r="A28" s="154" t="s">
        <v>11</v>
      </c>
      <c r="B28" s="155"/>
      <c r="C28" s="156"/>
      <c r="D28" s="157">
        <f>SUM(D25:D27)</f>
        <v>18</v>
      </c>
      <c r="E28" s="157">
        <f t="shared" ref="E28:G28" si="2">SUM(E25:E27)</f>
        <v>16.73</v>
      </c>
      <c r="F28" s="157">
        <f t="shared" si="2"/>
        <v>97.44</v>
      </c>
      <c r="G28" s="157">
        <f t="shared" si="2"/>
        <v>614</v>
      </c>
      <c r="H28" s="158"/>
      <c r="I28" s="158"/>
      <c r="J28" s="158"/>
      <c r="K28" s="158"/>
      <c r="L28" s="158"/>
      <c r="M28" s="158"/>
      <c r="N28" s="158"/>
      <c r="O28" s="158"/>
    </row>
    <row r="29" spans="1:15" ht="15" customHeight="1">
      <c r="A29" s="88" t="s">
        <v>15</v>
      </c>
      <c r="B29" s="87"/>
      <c r="C29" s="112"/>
      <c r="D29" s="89">
        <f>SUM(D8:D13)+SUM(D16:D22)+SUM(D25:D27)</f>
        <v>61.653449999999999</v>
      </c>
      <c r="E29" s="89">
        <f t="shared" ref="E29:F29" si="3">SUM(E8:E13)+SUM(E16:E22)+SUM(E25:E27)</f>
        <v>54.743340000000003</v>
      </c>
      <c r="F29" s="89">
        <f t="shared" si="3"/>
        <v>241.82150000000001</v>
      </c>
      <c r="G29" s="89">
        <f>SUM(G8:G13)+SUM(G16:G22)+SUM(G25:G27)</f>
        <v>1754.78</v>
      </c>
      <c r="H29" s="90"/>
      <c r="I29" s="90"/>
      <c r="J29" s="90"/>
      <c r="K29" s="90"/>
      <c r="L29" s="90"/>
      <c r="M29" s="90"/>
      <c r="N29" s="90"/>
      <c r="O29" s="90"/>
    </row>
    <row r="30" spans="1:15" ht="15.75" thickBot="1"/>
    <row r="31" spans="1:15" ht="39" thickBot="1">
      <c r="B31" s="266" t="s">
        <v>74</v>
      </c>
      <c r="C31" s="267"/>
      <c r="D31" s="267"/>
      <c r="E31" s="267"/>
      <c r="F31" s="270" t="s">
        <v>75</v>
      </c>
      <c r="G31" s="271"/>
      <c r="H31" s="272"/>
      <c r="I31" s="91" t="s">
        <v>76</v>
      </c>
    </row>
    <row r="32" spans="1:15" ht="15.75" thickBot="1">
      <c r="B32" s="268"/>
      <c r="C32" s="269"/>
      <c r="D32" s="269"/>
      <c r="E32" s="269"/>
      <c r="F32" s="92" t="s">
        <v>1</v>
      </c>
      <c r="G32" s="92" t="s">
        <v>2</v>
      </c>
      <c r="H32" s="92" t="s">
        <v>3</v>
      </c>
      <c r="I32" s="93"/>
    </row>
    <row r="33" spans="1:11" ht="15.75" thickBot="1">
      <c r="B33" s="273" t="s">
        <v>78</v>
      </c>
      <c r="C33" s="274"/>
      <c r="D33" s="274"/>
      <c r="E33" s="274"/>
      <c r="F33" s="92" t="s">
        <v>79</v>
      </c>
      <c r="G33" s="92" t="s">
        <v>80</v>
      </c>
      <c r="H33" s="92" t="s">
        <v>81</v>
      </c>
      <c r="I33" s="92" t="s">
        <v>82</v>
      </c>
    </row>
    <row r="34" spans="1:11" ht="15.75" thickBot="1">
      <c r="B34" s="273" t="s">
        <v>77</v>
      </c>
      <c r="C34" s="274"/>
      <c r="D34" s="274"/>
      <c r="E34" s="274"/>
      <c r="F34" s="94">
        <f>D29</f>
        <v>61.653449999999999</v>
      </c>
      <c r="G34" s="94">
        <f>E29</f>
        <v>54.743340000000003</v>
      </c>
      <c r="H34" s="94">
        <f>F29</f>
        <v>241.82150000000001</v>
      </c>
      <c r="I34" s="94">
        <f>G29</f>
        <v>1754.78</v>
      </c>
    </row>
    <row r="36" spans="1:11" ht="40.5" customHeight="1">
      <c r="A36" s="105"/>
      <c r="B36" s="249" t="s">
        <v>127</v>
      </c>
      <c r="C36" s="249"/>
      <c r="D36" s="249"/>
      <c r="E36" s="249"/>
      <c r="F36" s="249"/>
      <c r="G36" s="249"/>
      <c r="H36" s="249"/>
      <c r="J36" s="73" t="s">
        <v>45</v>
      </c>
      <c r="K36" s="74" t="s">
        <v>55</v>
      </c>
    </row>
    <row r="37" spans="1:11" ht="23.25" customHeight="1">
      <c r="A37" s="105"/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J37" s="73" t="s">
        <v>47</v>
      </c>
      <c r="K37" s="74" t="s">
        <v>48</v>
      </c>
    </row>
    <row r="38" spans="1:11" ht="30">
      <c r="A38" s="105"/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J38" s="73" t="s">
        <v>49</v>
      </c>
      <c r="K38" s="74" t="s">
        <v>50</v>
      </c>
    </row>
    <row r="39" spans="1:11" ht="24.75" customHeight="1">
      <c r="A39" s="105"/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J39" s="73" t="s">
        <v>51</v>
      </c>
      <c r="K39" s="74" t="s">
        <v>52</v>
      </c>
    </row>
    <row r="40" spans="1:11" ht="25.5">
      <c r="A40" s="105"/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</row>
    <row r="41" spans="1:11">
      <c r="A41" s="105"/>
      <c r="B41" s="97" t="s">
        <v>94</v>
      </c>
      <c r="C41" s="252">
        <v>150</v>
      </c>
      <c r="D41" s="253"/>
      <c r="E41" s="252">
        <v>150</v>
      </c>
      <c r="F41" s="253"/>
      <c r="G41" s="98">
        <v>100</v>
      </c>
      <c r="H41" s="98">
        <v>100</v>
      </c>
    </row>
    <row r="42" spans="1:11">
      <c r="A42" s="105"/>
      <c r="B42" s="97" t="s">
        <v>95</v>
      </c>
      <c r="C42" s="252">
        <v>15</v>
      </c>
      <c r="D42" s="253"/>
      <c r="E42" s="252">
        <v>15</v>
      </c>
      <c r="F42" s="253"/>
      <c r="G42" s="98">
        <f>78+11.5</f>
        <v>89.5</v>
      </c>
      <c r="H42" s="98">
        <f>78+11.5</f>
        <v>89.5</v>
      </c>
    </row>
    <row r="43" spans="1:11">
      <c r="A43" s="105"/>
      <c r="B43" s="99" t="s">
        <v>96</v>
      </c>
      <c r="C43" s="254">
        <v>45</v>
      </c>
      <c r="D43" s="255"/>
      <c r="E43" s="254">
        <v>45</v>
      </c>
      <c r="F43" s="255"/>
      <c r="G43" s="100"/>
      <c r="H43" s="100"/>
    </row>
    <row r="44" spans="1:11">
      <c r="A44" s="105"/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1:11">
      <c r="A45" s="105"/>
      <c r="B45" s="97" t="s">
        <v>98</v>
      </c>
      <c r="C45" s="252" t="s">
        <v>99</v>
      </c>
      <c r="D45" s="253"/>
      <c r="E45" s="256">
        <v>188</v>
      </c>
      <c r="F45" s="257"/>
      <c r="G45" s="98">
        <f>171+27+28.9</f>
        <v>226.9</v>
      </c>
      <c r="H45" s="98">
        <f>20+21+129</f>
        <v>170</v>
      </c>
    </row>
    <row r="46" spans="1:11">
      <c r="A46" s="105"/>
      <c r="B46" s="97" t="s">
        <v>100</v>
      </c>
      <c r="C46" s="252">
        <v>350</v>
      </c>
      <c r="D46" s="253"/>
      <c r="E46" s="252" t="s">
        <v>101</v>
      </c>
      <c r="F46" s="253"/>
      <c r="G46" s="98">
        <f>50+25+12.5+3.25+12+7.5+19.1+12.6+18.8+21.4+18.8+23+4+2+10+10</f>
        <v>249.95000000000002</v>
      </c>
      <c r="H46" s="131">
        <f>40+20+10+2.5+10+7.5+15+10+15+15+15+18+3+1+8+10</f>
        <v>200</v>
      </c>
    </row>
    <row r="47" spans="1:11">
      <c r="A47" s="105"/>
      <c r="B47" s="97" t="s">
        <v>102</v>
      </c>
      <c r="C47" s="252">
        <v>200</v>
      </c>
      <c r="D47" s="253"/>
      <c r="E47" s="252" t="s">
        <v>103</v>
      </c>
      <c r="F47" s="253"/>
      <c r="G47" s="98">
        <f>100+21+8</f>
        <v>129</v>
      </c>
      <c r="H47" s="98">
        <v>129</v>
      </c>
    </row>
    <row r="48" spans="1:11" ht="25.5">
      <c r="A48" s="105"/>
      <c r="B48" s="97" t="s">
        <v>104</v>
      </c>
      <c r="C48" s="252">
        <v>15</v>
      </c>
      <c r="D48" s="253"/>
      <c r="E48" s="252">
        <v>15</v>
      </c>
      <c r="F48" s="253"/>
      <c r="G48" s="98"/>
      <c r="H48" s="98"/>
    </row>
    <row r="49" spans="1:8" ht="38.25">
      <c r="A49" s="105"/>
      <c r="B49" s="97" t="s">
        <v>105</v>
      </c>
      <c r="C49" s="252">
        <v>200</v>
      </c>
      <c r="D49" s="253"/>
      <c r="E49" s="252">
        <v>200</v>
      </c>
      <c r="F49" s="253"/>
      <c r="G49" s="98">
        <v>200</v>
      </c>
      <c r="H49" s="98">
        <v>200</v>
      </c>
    </row>
    <row r="50" spans="1:8" ht="25.5">
      <c r="A50" s="105"/>
      <c r="B50" s="97" t="s">
        <v>106</v>
      </c>
      <c r="C50" s="252" t="s">
        <v>107</v>
      </c>
      <c r="D50" s="253"/>
      <c r="E50" s="252">
        <v>70</v>
      </c>
      <c r="F50" s="253"/>
      <c r="G50" s="98">
        <v>40</v>
      </c>
      <c r="H50" s="98">
        <v>25</v>
      </c>
    </row>
    <row r="51" spans="1:8" ht="25.5">
      <c r="A51" s="105"/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1:8">
      <c r="A52" s="105"/>
      <c r="B52" s="97" t="s">
        <v>110</v>
      </c>
      <c r="C52" s="252">
        <v>60</v>
      </c>
      <c r="D52" s="253"/>
      <c r="E52" s="252">
        <v>58</v>
      </c>
      <c r="F52" s="253"/>
      <c r="G52" s="98">
        <v>123</v>
      </c>
      <c r="H52" s="98">
        <v>61</v>
      </c>
    </row>
    <row r="53" spans="1:8">
      <c r="A53" s="105"/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1:8" ht="25.5">
      <c r="A54" s="105"/>
      <c r="B54" s="97" t="s">
        <v>112</v>
      </c>
      <c r="C54" s="252">
        <v>300</v>
      </c>
      <c r="D54" s="253"/>
      <c r="E54" s="252">
        <v>300</v>
      </c>
      <c r="F54" s="253"/>
      <c r="G54" s="98">
        <f>78+24</f>
        <v>102</v>
      </c>
      <c r="H54" s="98">
        <f>78+22.5</f>
        <v>100.5</v>
      </c>
    </row>
    <row r="55" spans="1:8" ht="25.5">
      <c r="A55" s="105"/>
      <c r="B55" s="97" t="s">
        <v>113</v>
      </c>
      <c r="C55" s="252">
        <v>150</v>
      </c>
      <c r="D55" s="253"/>
      <c r="E55" s="252">
        <v>150</v>
      </c>
      <c r="F55" s="253"/>
      <c r="G55" s="98">
        <v>207</v>
      </c>
      <c r="H55" s="98">
        <v>200</v>
      </c>
    </row>
    <row r="56" spans="1:8" ht="25.5">
      <c r="A56" s="105"/>
      <c r="B56" s="97" t="s">
        <v>114</v>
      </c>
      <c r="C56" s="252">
        <v>50</v>
      </c>
      <c r="D56" s="253"/>
      <c r="E56" s="252">
        <v>50</v>
      </c>
      <c r="F56" s="253"/>
      <c r="G56" s="98">
        <f>83.7+30</f>
        <v>113.7</v>
      </c>
      <c r="H56" s="98">
        <f>82+30</f>
        <v>112</v>
      </c>
    </row>
    <row r="57" spans="1:8">
      <c r="A57" s="105"/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1:8" ht="25.5">
      <c r="A58" s="105"/>
      <c r="B58" s="97" t="s">
        <v>116</v>
      </c>
      <c r="C58" s="252">
        <v>10</v>
      </c>
      <c r="D58" s="253"/>
      <c r="E58" s="252">
        <v>10</v>
      </c>
      <c r="F58" s="253"/>
      <c r="G58" s="103"/>
      <c r="H58" s="103"/>
    </row>
    <row r="59" spans="1:8">
      <c r="A59" s="105"/>
      <c r="B59" s="97" t="s">
        <v>117</v>
      </c>
      <c r="C59" s="252">
        <v>30</v>
      </c>
      <c r="D59" s="253"/>
      <c r="E59" s="252">
        <v>30</v>
      </c>
      <c r="F59" s="253"/>
      <c r="G59" s="98">
        <f>10+5.25</f>
        <v>15.25</v>
      </c>
      <c r="H59" s="98">
        <v>15.25</v>
      </c>
    </row>
    <row r="60" spans="1:8">
      <c r="A60" s="105"/>
      <c r="B60" s="97" t="s">
        <v>118</v>
      </c>
      <c r="C60" s="252">
        <v>15</v>
      </c>
      <c r="D60" s="253"/>
      <c r="E60" s="252">
        <v>15</v>
      </c>
      <c r="F60" s="253"/>
      <c r="G60" s="131">
        <f>9+5+10</f>
        <v>24</v>
      </c>
      <c r="H60" s="98">
        <v>24</v>
      </c>
    </row>
    <row r="61" spans="1:8">
      <c r="A61" s="105"/>
      <c r="B61" s="97" t="s">
        <v>119</v>
      </c>
      <c r="C61" s="252" t="s">
        <v>120</v>
      </c>
      <c r="D61" s="253"/>
      <c r="E61" s="252">
        <v>40</v>
      </c>
      <c r="F61" s="253"/>
      <c r="G61" s="98">
        <f>3.9+6</f>
        <v>9.9</v>
      </c>
      <c r="H61" s="98">
        <f>3.9+6</f>
        <v>9.9</v>
      </c>
    </row>
    <row r="62" spans="1:8">
      <c r="A62" s="105"/>
      <c r="B62" s="97" t="s">
        <v>121</v>
      </c>
      <c r="C62" s="252">
        <v>40</v>
      </c>
      <c r="D62" s="253"/>
      <c r="E62" s="256">
        <v>40</v>
      </c>
      <c r="F62" s="257"/>
      <c r="G62" s="98">
        <f>2.75+6+2+1</f>
        <v>11.75</v>
      </c>
      <c r="H62" s="98">
        <v>11.75</v>
      </c>
    </row>
    <row r="63" spans="1:8">
      <c r="A63" s="105"/>
      <c r="B63" s="97" t="s">
        <v>122</v>
      </c>
      <c r="C63" s="256">
        <v>10</v>
      </c>
      <c r="D63" s="257"/>
      <c r="E63" s="252">
        <v>10</v>
      </c>
      <c r="F63" s="253"/>
      <c r="G63" s="98">
        <v>15</v>
      </c>
      <c r="H63" s="98">
        <v>15</v>
      </c>
    </row>
    <row r="64" spans="1:8">
      <c r="A64" s="105"/>
      <c r="B64" s="97" t="s">
        <v>123</v>
      </c>
      <c r="C64" s="252">
        <v>0.4</v>
      </c>
      <c r="D64" s="253"/>
      <c r="E64" s="252">
        <v>0.4</v>
      </c>
      <c r="F64" s="253"/>
      <c r="G64" s="98">
        <v>0.5</v>
      </c>
      <c r="H64" s="98">
        <v>0.5</v>
      </c>
    </row>
    <row r="65" spans="1:8">
      <c r="A65" s="105"/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1:8">
      <c r="A66" s="105"/>
      <c r="B66" s="97" t="s">
        <v>125</v>
      </c>
      <c r="C66" s="252">
        <v>1</v>
      </c>
      <c r="D66" s="253"/>
      <c r="E66" s="252">
        <v>1</v>
      </c>
      <c r="F66" s="253"/>
      <c r="G66" s="98">
        <v>2.25</v>
      </c>
      <c r="H66" s="98">
        <v>2.25</v>
      </c>
    </row>
    <row r="67" spans="1:8">
      <c r="A67" s="105"/>
      <c r="B67" s="97" t="s">
        <v>126</v>
      </c>
      <c r="C67" s="252">
        <v>5</v>
      </c>
      <c r="D67" s="253"/>
      <c r="E67" s="252">
        <v>5</v>
      </c>
      <c r="F67" s="253"/>
      <c r="G67" s="98">
        <f>1.5+0.8+1</f>
        <v>3.3</v>
      </c>
      <c r="H67" s="98">
        <v>3.3</v>
      </c>
    </row>
    <row r="68" spans="1:8">
      <c r="A68" s="105"/>
      <c r="B68" s="105"/>
      <c r="C68" s="113"/>
      <c r="D68" s="105"/>
      <c r="E68" s="105"/>
      <c r="F68" s="105"/>
      <c r="G68" s="106"/>
      <c r="H68" s="105"/>
    </row>
    <row r="69" spans="1:8">
      <c r="A69" s="105"/>
      <c r="B69" s="105"/>
      <c r="C69" s="113"/>
      <c r="D69" s="105"/>
      <c r="E69" s="105"/>
      <c r="F69" s="105"/>
      <c r="G69" s="105"/>
      <c r="H69" s="105"/>
    </row>
    <row r="70" spans="1:8">
      <c r="A70" s="105"/>
      <c r="B70" s="105"/>
      <c r="C70" s="113"/>
      <c r="D70" s="105"/>
      <c r="E70" s="105"/>
      <c r="F70" s="105"/>
      <c r="G70" s="105"/>
      <c r="H70" s="105"/>
    </row>
    <row r="71" spans="1:8">
      <c r="A71" s="105"/>
      <c r="B71" s="105"/>
      <c r="C71" s="113"/>
      <c r="D71" s="105"/>
      <c r="E71" s="105"/>
      <c r="F71" s="105"/>
      <c r="G71" s="105"/>
      <c r="H71" s="105"/>
    </row>
    <row r="72" spans="1:8">
      <c r="A72" s="105"/>
      <c r="B72" s="105"/>
      <c r="C72" s="113"/>
      <c r="D72" s="105"/>
      <c r="E72" s="105"/>
      <c r="F72" s="105"/>
      <c r="G72" s="105"/>
      <c r="H72" s="105"/>
    </row>
    <row r="73" spans="1:8">
      <c r="A73" s="105"/>
      <c r="B73" s="105"/>
      <c r="C73" s="113"/>
      <c r="D73" s="105"/>
      <c r="E73" s="105"/>
      <c r="F73" s="105"/>
      <c r="G73" s="105"/>
      <c r="H73" s="105"/>
    </row>
  </sheetData>
  <sheetProtection formatCells="0" formatColumns="0" formatRows="0" insertColumns="0" insertRows="0" insertHyperlinks="0" deleteColumns="0" deleteRows="0" sort="0" autoFilter="0" pivotTables="0"/>
  <mergeCells count="82">
    <mergeCell ref="E40:F40"/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E55:F55"/>
    <mergeCell ref="E54:F54"/>
    <mergeCell ref="E53:F53"/>
    <mergeCell ref="E52:F52"/>
    <mergeCell ref="E51:F51"/>
    <mergeCell ref="E58:F58"/>
    <mergeCell ref="E59:F59"/>
    <mergeCell ref="E56:F56"/>
    <mergeCell ref="E57:F57"/>
    <mergeCell ref="E61:F61"/>
    <mergeCell ref="E60:F60"/>
    <mergeCell ref="E64:F64"/>
    <mergeCell ref="E63:F63"/>
    <mergeCell ref="E62:F62"/>
    <mergeCell ref="C65:D65"/>
    <mergeCell ref="C67:D67"/>
    <mergeCell ref="C66:D66"/>
    <mergeCell ref="E67:F67"/>
    <mergeCell ref="E66:F66"/>
    <mergeCell ref="E65:F65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4:D44"/>
    <mergeCell ref="C43:D43"/>
    <mergeCell ref="B36:H36"/>
    <mergeCell ref="C37:F37"/>
    <mergeCell ref="B38:B39"/>
    <mergeCell ref="C38:D38"/>
    <mergeCell ref="E38:F38"/>
    <mergeCell ref="G37:H37"/>
    <mergeCell ref="C39:D39"/>
    <mergeCell ref="E39:F39"/>
    <mergeCell ref="B31:E32"/>
    <mergeCell ref="F31:H31"/>
    <mergeCell ref="B33:E33"/>
    <mergeCell ref="B34:E34"/>
    <mergeCell ref="A7:O7"/>
    <mergeCell ref="A10:A12"/>
    <mergeCell ref="A8:A9"/>
    <mergeCell ref="D11:O12"/>
    <mergeCell ref="A15:O15"/>
    <mergeCell ref="A24:O24"/>
    <mergeCell ref="D9:O9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5" fitToWidth="2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AA68"/>
  <sheetViews>
    <sheetView view="pageBreakPreview" topLeftCell="A49" zoomScale="90" zoomScaleNormal="90" zoomScaleSheetLayoutView="90" workbookViewId="0">
      <selection activeCell="G61" sqref="G61"/>
    </sheetView>
  </sheetViews>
  <sheetFormatPr defaultRowHeight="15"/>
  <cols>
    <col min="1" max="1" width="14" style="16" bestFit="1" customWidth="1"/>
    <col min="2" max="2" width="32.7109375" style="16" customWidth="1"/>
    <col min="3" max="6" width="9.140625" style="16"/>
    <col min="7" max="7" width="11.85546875" style="16" customWidth="1"/>
    <col min="8" max="8" width="10" style="16" bestFit="1" customWidth="1"/>
    <col min="9" max="9" width="10.5703125" style="16" bestFit="1" customWidth="1"/>
    <col min="10" max="16384" width="9.140625" style="16"/>
  </cols>
  <sheetData>
    <row r="1" spans="1:27" ht="15.75">
      <c r="A1" s="184" t="s">
        <v>45</v>
      </c>
      <c r="B1" s="185" t="s">
        <v>57</v>
      </c>
    </row>
    <row r="2" spans="1:27" ht="15.75">
      <c r="A2" s="184" t="s">
        <v>47</v>
      </c>
      <c r="B2" s="185" t="s">
        <v>48</v>
      </c>
    </row>
    <row r="3" spans="1:27" ht="15.75">
      <c r="A3" s="184" t="s">
        <v>49</v>
      </c>
      <c r="B3" s="185" t="s">
        <v>50</v>
      </c>
    </row>
    <row r="4" spans="1:27" ht="31.5">
      <c r="A4" s="184" t="s">
        <v>51</v>
      </c>
      <c r="B4" s="185" t="s">
        <v>52</v>
      </c>
    </row>
    <row r="5" spans="1:27" ht="15.75">
      <c r="A5" s="293" t="s">
        <v>32</v>
      </c>
      <c r="B5" s="293" t="s">
        <v>21</v>
      </c>
      <c r="C5" s="293" t="s">
        <v>24</v>
      </c>
      <c r="D5" s="290" t="s">
        <v>35</v>
      </c>
      <c r="E5" s="291"/>
      <c r="F5" s="292"/>
      <c r="G5" s="293" t="s">
        <v>0</v>
      </c>
      <c r="H5" s="290" t="s">
        <v>34</v>
      </c>
      <c r="I5" s="291"/>
      <c r="J5" s="291"/>
      <c r="K5" s="292"/>
      <c r="L5" s="290" t="s">
        <v>33</v>
      </c>
      <c r="M5" s="291"/>
      <c r="N5" s="291"/>
      <c r="O5" s="292"/>
    </row>
    <row r="6" spans="1:27" ht="15.75">
      <c r="A6" s="294"/>
      <c r="B6" s="295"/>
      <c r="C6" s="296"/>
      <c r="D6" s="186" t="s">
        <v>1</v>
      </c>
      <c r="E6" s="186" t="s">
        <v>2</v>
      </c>
      <c r="F6" s="186" t="s">
        <v>3</v>
      </c>
      <c r="G6" s="294"/>
      <c r="H6" s="186" t="s">
        <v>20</v>
      </c>
      <c r="I6" s="186" t="s">
        <v>4</v>
      </c>
      <c r="J6" s="186" t="s">
        <v>5</v>
      </c>
      <c r="K6" s="186" t="s">
        <v>6</v>
      </c>
      <c r="L6" s="186" t="s">
        <v>7</v>
      </c>
      <c r="M6" s="186" t="s">
        <v>8</v>
      </c>
      <c r="N6" s="186" t="s">
        <v>9</v>
      </c>
      <c r="O6" s="186" t="s">
        <v>10</v>
      </c>
    </row>
    <row r="7" spans="1:27" ht="18.75">
      <c r="A7" s="297" t="s">
        <v>42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27" s="12" customFormat="1" ht="25.5">
      <c r="A8" s="177">
        <v>186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>
      <c r="A9" s="228">
        <v>2</v>
      </c>
      <c r="B9" s="10" t="s">
        <v>150</v>
      </c>
      <c r="C9" s="187">
        <v>60</v>
      </c>
      <c r="D9" s="188">
        <v>3.7</v>
      </c>
      <c r="E9" s="188">
        <v>8.5</v>
      </c>
      <c r="F9" s="188">
        <v>26.25</v>
      </c>
      <c r="G9" s="188">
        <v>155</v>
      </c>
      <c r="H9" s="188">
        <v>3.4000000000000002E-2</v>
      </c>
      <c r="I9" s="188"/>
      <c r="J9" s="188">
        <v>0.13</v>
      </c>
      <c r="K9" s="188">
        <v>0.44</v>
      </c>
      <c r="L9" s="188">
        <v>8.4</v>
      </c>
      <c r="M9" s="188">
        <v>22.5</v>
      </c>
      <c r="N9" s="188">
        <v>4.2</v>
      </c>
      <c r="O9" s="188">
        <v>0.35</v>
      </c>
      <c r="P9" s="116"/>
      <c r="Q9" s="116"/>
      <c r="R9" s="116"/>
      <c r="S9" s="116"/>
    </row>
    <row r="10" spans="1:27" s="80" customFormat="1">
      <c r="A10" s="229"/>
      <c r="B10" s="56" t="s">
        <v>151</v>
      </c>
      <c r="C10" s="189">
        <v>50</v>
      </c>
      <c r="D10" s="319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1"/>
      <c r="P10" s="190"/>
      <c r="Q10" s="190"/>
      <c r="R10" s="117"/>
      <c r="S10" s="117"/>
    </row>
    <row r="11" spans="1:27" s="193" customFormat="1">
      <c r="A11" s="230"/>
      <c r="B11" s="191" t="s">
        <v>117</v>
      </c>
      <c r="C11" s="189">
        <v>10</v>
      </c>
      <c r="D11" s="322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4"/>
      <c r="P11" s="190"/>
      <c r="Q11" s="190"/>
      <c r="R11" s="192"/>
      <c r="S11" s="192"/>
    </row>
    <row r="12" spans="1:27">
      <c r="A12" s="179">
        <v>379</v>
      </c>
      <c r="B12" s="10" t="s">
        <v>132</v>
      </c>
      <c r="C12" s="179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</row>
    <row r="13" spans="1:27" s="203" customFormat="1">
      <c r="A13" s="140" t="s">
        <v>11</v>
      </c>
      <c r="B13" s="140"/>
      <c r="C13" s="140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60"/>
      <c r="I13" s="161"/>
      <c r="J13" s="161"/>
      <c r="K13" s="161"/>
      <c r="L13" s="161"/>
      <c r="M13" s="161"/>
      <c r="N13" s="161"/>
      <c r="O13" s="161"/>
    </row>
    <row r="14" spans="1:27" ht="18.75">
      <c r="A14" s="325" t="s">
        <v>23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7"/>
    </row>
    <row r="15" spans="1:27" ht="25.5">
      <c r="A15" s="179">
        <v>61</v>
      </c>
      <c r="B15" s="10" t="s">
        <v>66</v>
      </c>
      <c r="C15" s="179">
        <v>100</v>
      </c>
      <c r="D15" s="18">
        <v>1.5</v>
      </c>
      <c r="E15" s="18">
        <v>5.01</v>
      </c>
      <c r="F15" s="18">
        <v>13.02</v>
      </c>
      <c r="G15" s="18">
        <v>103.7</v>
      </c>
      <c r="H15" s="18">
        <v>0.06</v>
      </c>
      <c r="I15" s="18">
        <v>3.57</v>
      </c>
      <c r="J15" s="18"/>
      <c r="K15" s="18">
        <v>8.25</v>
      </c>
      <c r="L15" s="18">
        <v>37.92</v>
      </c>
      <c r="M15" s="18">
        <v>56.22</v>
      </c>
      <c r="N15" s="18">
        <v>39.1</v>
      </c>
      <c r="O15" s="18">
        <v>1.06</v>
      </c>
    </row>
    <row r="16" spans="1:27" s="32" customFormat="1" ht="25.5" customHeight="1">
      <c r="A16" s="179">
        <v>112</v>
      </c>
      <c r="B16" s="10" t="s">
        <v>138</v>
      </c>
      <c r="C16" s="179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16" ht="25.5">
      <c r="A17" s="179">
        <v>295</v>
      </c>
      <c r="B17" s="10" t="s">
        <v>134</v>
      </c>
      <c r="C17" s="179">
        <v>105</v>
      </c>
      <c r="D17" s="18">
        <f>7.65*2</f>
        <v>15.3</v>
      </c>
      <c r="E17" s="18">
        <f>14.7*2</f>
        <v>29.4</v>
      </c>
      <c r="F17" s="18">
        <f>7.73*2</f>
        <v>15.46</v>
      </c>
      <c r="G17" s="18">
        <f>194*2</f>
        <v>388</v>
      </c>
      <c r="H17" s="18">
        <f>0.05*2</f>
        <v>0.1</v>
      </c>
      <c r="I17" s="18">
        <f>0.52*2</f>
        <v>1.04</v>
      </c>
      <c r="J17" s="18">
        <f>45.7*2</f>
        <v>91.4</v>
      </c>
      <c r="K17" s="18">
        <f>1.45*2</f>
        <v>2.9</v>
      </c>
      <c r="L17" s="18">
        <f>27.77*2</f>
        <v>55.54</v>
      </c>
      <c r="M17" s="18">
        <f>48.77*2</f>
        <v>97.54</v>
      </c>
      <c r="N17" s="18">
        <f>10.4*2</f>
        <v>20.8</v>
      </c>
      <c r="O17" s="18">
        <f>0.71*2</f>
        <v>1.42</v>
      </c>
    </row>
    <row r="18" spans="1:16">
      <c r="A18" s="179">
        <v>139</v>
      </c>
      <c r="B18" s="10" t="s">
        <v>159</v>
      </c>
      <c r="C18" s="179">
        <v>100</v>
      </c>
      <c r="D18" s="18">
        <v>2.04</v>
      </c>
      <c r="E18" s="18">
        <v>3.68</v>
      </c>
      <c r="F18" s="18">
        <v>7.89</v>
      </c>
      <c r="G18" s="18">
        <v>77</v>
      </c>
      <c r="H18" s="18">
        <v>0.04</v>
      </c>
      <c r="I18" s="18">
        <v>17.079999999999998</v>
      </c>
      <c r="J18" s="18">
        <v>0</v>
      </c>
      <c r="K18" s="18">
        <v>1.95</v>
      </c>
      <c r="L18" s="18">
        <v>58.75</v>
      </c>
      <c r="M18" s="18">
        <v>40.69</v>
      </c>
      <c r="N18" s="18">
        <v>20.85</v>
      </c>
      <c r="O18" s="18">
        <v>0.83</v>
      </c>
    </row>
    <row r="19" spans="1:16">
      <c r="A19" s="182">
        <v>389</v>
      </c>
      <c r="B19" s="10" t="s">
        <v>163</v>
      </c>
      <c r="C19" s="132">
        <v>200</v>
      </c>
      <c r="D19" s="133">
        <f>1</f>
        <v>1</v>
      </c>
      <c r="E19" s="132">
        <v>0</v>
      </c>
      <c r="F19" s="133">
        <f>101/5</f>
        <v>20.2</v>
      </c>
      <c r="G19" s="132">
        <f>424/5</f>
        <v>84.8</v>
      </c>
      <c r="H19" s="133">
        <f>0.11/5</f>
        <v>2.1999999999999999E-2</v>
      </c>
      <c r="I19" s="132">
        <f>30/5</f>
        <v>6</v>
      </c>
      <c r="J19" s="133">
        <v>0</v>
      </c>
      <c r="K19" s="132">
        <f>1/5</f>
        <v>0.2</v>
      </c>
      <c r="L19" s="133">
        <f>70/5</f>
        <v>14</v>
      </c>
      <c r="M19" s="132">
        <f>70/5</f>
        <v>14</v>
      </c>
      <c r="N19" s="133">
        <f>40/5</f>
        <v>8</v>
      </c>
      <c r="O19" s="134">
        <f>14/5</f>
        <v>2.8</v>
      </c>
    </row>
    <row r="20" spans="1:16">
      <c r="A20" s="56"/>
      <c r="B20" s="10" t="s">
        <v>14</v>
      </c>
      <c r="C20" s="179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16">
      <c r="A21" s="56"/>
      <c r="B21" s="10" t="s">
        <v>94</v>
      </c>
      <c r="C21" s="17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16" s="203" customFormat="1">
      <c r="A22" s="140" t="s">
        <v>11</v>
      </c>
      <c r="B22" s="141"/>
      <c r="C22" s="141"/>
      <c r="D22" s="159">
        <f>SUM(D15:D21)</f>
        <v>28.607499999999998</v>
      </c>
      <c r="E22" s="159">
        <f t="shared" ref="E22:F22" si="1">SUM(E15:E21)</f>
        <v>42.35</v>
      </c>
      <c r="F22" s="159">
        <f t="shared" si="1"/>
        <v>111.33750000000001</v>
      </c>
      <c r="G22" s="159">
        <f>SUM(G15:G21)</f>
        <v>982.98</v>
      </c>
      <c r="H22" s="162"/>
      <c r="I22" s="162"/>
      <c r="J22" s="162"/>
      <c r="K22" s="162"/>
      <c r="L22" s="162"/>
      <c r="M22" s="162"/>
      <c r="N22" s="162"/>
      <c r="O22" s="162"/>
    </row>
    <row r="23" spans="1:16" ht="18.75">
      <c r="A23" s="325" t="s">
        <v>22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7"/>
    </row>
    <row r="24" spans="1:16" ht="38.25">
      <c r="A24" s="179">
        <v>406</v>
      </c>
      <c r="B24" s="10" t="s">
        <v>131</v>
      </c>
      <c r="C24" s="179">
        <v>35</v>
      </c>
      <c r="D24" s="18">
        <v>1.82</v>
      </c>
      <c r="E24" s="18">
        <v>2.04</v>
      </c>
      <c r="F24" s="18">
        <v>16.62</v>
      </c>
      <c r="G24" s="18">
        <v>92</v>
      </c>
      <c r="H24" s="18">
        <v>0.03</v>
      </c>
      <c r="I24" s="18">
        <v>0.18</v>
      </c>
      <c r="J24" s="18">
        <v>15</v>
      </c>
      <c r="K24" s="18">
        <v>0.4</v>
      </c>
      <c r="L24" s="18">
        <v>7.5</v>
      </c>
      <c r="M24" s="18">
        <v>18.399999999999999</v>
      </c>
      <c r="N24" s="18">
        <v>7.4</v>
      </c>
      <c r="O24" s="18">
        <v>0.65</v>
      </c>
    </row>
    <row r="25" spans="1:16">
      <c r="A25" s="179">
        <v>386</v>
      </c>
      <c r="B25" s="10" t="s">
        <v>73</v>
      </c>
      <c r="C25" s="179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16">
      <c r="A26" s="179">
        <v>338</v>
      </c>
      <c r="B26" s="10" t="s">
        <v>67</v>
      </c>
      <c r="C26" s="179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16" s="203" customFormat="1">
      <c r="A27" s="140" t="s">
        <v>11</v>
      </c>
      <c r="B27" s="141"/>
      <c r="C27" s="141"/>
      <c r="D27" s="159">
        <f>SUM(D24:D26)</f>
        <v>8.02</v>
      </c>
      <c r="E27" s="159">
        <f t="shared" ref="E27:G27" si="2">SUM(E24:E26)</f>
        <v>7.34</v>
      </c>
      <c r="F27" s="159">
        <f t="shared" si="2"/>
        <v>35.320000000000007</v>
      </c>
      <c r="G27" s="159">
        <f t="shared" si="2"/>
        <v>241</v>
      </c>
      <c r="H27" s="162"/>
      <c r="I27" s="162"/>
      <c r="J27" s="162"/>
      <c r="K27" s="162"/>
      <c r="L27" s="162"/>
      <c r="M27" s="162"/>
      <c r="N27" s="162"/>
      <c r="O27" s="162"/>
    </row>
    <row r="28" spans="1:16" s="203" customFormat="1">
      <c r="A28" s="140" t="s">
        <v>15</v>
      </c>
      <c r="B28" s="141"/>
      <c r="C28" s="141"/>
      <c r="D28" s="144">
        <f>SUM(D8:D12)+SUM(D15:D21)+SUM(D24:D26)</f>
        <v>54.833500000000001</v>
      </c>
      <c r="E28" s="144">
        <f t="shared" ref="E28:F28" si="3">SUM(E8:E12)+SUM(E15:E21)+SUM(E24:E26)</f>
        <v>80.64800000000001</v>
      </c>
      <c r="F28" s="144">
        <f t="shared" si="3"/>
        <v>191.79349999999999</v>
      </c>
      <c r="G28" s="144">
        <f>SUM(G8:G12)+SUM(G15:G21)+SUM(G24:G26)</f>
        <v>1715.58</v>
      </c>
      <c r="H28" s="162"/>
      <c r="I28" s="162"/>
      <c r="J28" s="162"/>
      <c r="K28" s="162"/>
      <c r="L28" s="162"/>
      <c r="M28" s="162"/>
      <c r="N28" s="162"/>
      <c r="O28" s="162"/>
    </row>
    <row r="29" spans="1:16" ht="15.75" thickBot="1"/>
    <row r="30" spans="1:16" ht="39" thickBot="1">
      <c r="A30" s="62"/>
      <c r="B30" s="299" t="s">
        <v>74</v>
      </c>
      <c r="C30" s="300"/>
      <c r="D30" s="300"/>
      <c r="E30" s="301"/>
      <c r="F30" s="311" t="s">
        <v>75</v>
      </c>
      <c r="G30" s="312"/>
      <c r="H30" s="313"/>
      <c r="I30" s="194" t="s">
        <v>76</v>
      </c>
      <c r="K30" s="62"/>
      <c r="L30" s="62"/>
      <c r="M30" s="62"/>
      <c r="N30" s="62"/>
      <c r="O30" s="62"/>
      <c r="P30" s="62"/>
    </row>
    <row r="31" spans="1:16" ht="15.75" thickBot="1">
      <c r="A31" s="45"/>
      <c r="B31" s="302"/>
      <c r="C31" s="303"/>
      <c r="D31" s="303"/>
      <c r="E31" s="304"/>
      <c r="F31" s="195" t="s">
        <v>1</v>
      </c>
      <c r="G31" s="195" t="s">
        <v>2</v>
      </c>
      <c r="H31" s="195" t="s">
        <v>3</v>
      </c>
      <c r="I31" s="196"/>
      <c r="K31" s="62"/>
      <c r="L31" s="47"/>
      <c r="M31" s="47"/>
      <c r="N31" s="47"/>
      <c r="O31" s="47"/>
      <c r="P31" s="62"/>
    </row>
    <row r="32" spans="1:16" ht="15.75" thickBot="1">
      <c r="A32" s="45"/>
      <c r="B32" s="314" t="s">
        <v>78</v>
      </c>
      <c r="C32" s="315"/>
      <c r="D32" s="315"/>
      <c r="E32" s="316"/>
      <c r="F32" s="195" t="s">
        <v>79</v>
      </c>
      <c r="G32" s="195" t="s">
        <v>80</v>
      </c>
      <c r="H32" s="195" t="s">
        <v>81</v>
      </c>
      <c r="I32" s="195" t="s">
        <v>82</v>
      </c>
      <c r="K32" s="62"/>
      <c r="L32" s="47"/>
      <c r="M32" s="47"/>
      <c r="N32" s="47"/>
      <c r="O32" s="47"/>
      <c r="P32" s="62"/>
    </row>
    <row r="33" spans="1:16" ht="15.75" thickBot="1">
      <c r="A33" s="62"/>
      <c r="B33" s="314" t="s">
        <v>77</v>
      </c>
      <c r="C33" s="315"/>
      <c r="D33" s="315"/>
      <c r="E33" s="316"/>
      <c r="F33" s="197">
        <f>D28</f>
        <v>54.833500000000001</v>
      </c>
      <c r="G33" s="197">
        <f>E28</f>
        <v>80.64800000000001</v>
      </c>
      <c r="H33" s="197">
        <f>F28</f>
        <v>191.79349999999999</v>
      </c>
      <c r="I33" s="197">
        <f>G28</f>
        <v>1715.58</v>
      </c>
      <c r="K33" s="62"/>
      <c r="L33" s="62"/>
      <c r="M33" s="62"/>
      <c r="N33" s="62"/>
      <c r="O33" s="62"/>
      <c r="P33" s="62"/>
    </row>
    <row r="34" spans="1:16" s="32" customFormat="1">
      <c r="A34" s="45"/>
      <c r="B34" s="16"/>
      <c r="C34" s="16"/>
      <c r="D34" s="16"/>
      <c r="E34" s="16"/>
      <c r="F34" s="16"/>
      <c r="G34" s="16"/>
      <c r="H34" s="16"/>
      <c r="I34" s="16"/>
      <c r="J34" s="16"/>
      <c r="K34" s="62"/>
      <c r="L34" s="47"/>
      <c r="M34" s="47"/>
      <c r="N34" s="47"/>
      <c r="O34" s="47"/>
      <c r="P34" s="63"/>
    </row>
    <row r="35" spans="1:16" ht="32.25" customHeight="1">
      <c r="A35" s="62"/>
      <c r="B35" s="305" t="s">
        <v>127</v>
      </c>
      <c r="C35" s="305"/>
      <c r="D35" s="305"/>
      <c r="E35" s="305"/>
      <c r="F35" s="305"/>
      <c r="G35" s="305"/>
      <c r="H35" s="305"/>
      <c r="K35" s="62"/>
      <c r="L35" s="62"/>
      <c r="M35" s="62"/>
      <c r="N35" s="62"/>
      <c r="O35" s="62"/>
      <c r="P35" s="62"/>
    </row>
    <row r="36" spans="1:16" ht="30" customHeight="1">
      <c r="A36" s="62"/>
      <c r="B36" s="198" t="s">
        <v>89</v>
      </c>
      <c r="C36" s="306" t="s">
        <v>90</v>
      </c>
      <c r="D36" s="306"/>
      <c r="E36" s="306"/>
      <c r="F36" s="306"/>
      <c r="G36" s="317" t="s">
        <v>146</v>
      </c>
      <c r="H36" s="318"/>
      <c r="J36" s="184" t="s">
        <v>45</v>
      </c>
      <c r="K36" s="185" t="s">
        <v>57</v>
      </c>
    </row>
    <row r="37" spans="1:16" ht="31.5">
      <c r="A37" s="62"/>
      <c r="B37" s="307"/>
      <c r="C37" s="309" t="s">
        <v>91</v>
      </c>
      <c r="D37" s="310"/>
      <c r="E37" s="309" t="s">
        <v>92</v>
      </c>
      <c r="F37" s="310"/>
      <c r="G37" s="198" t="s">
        <v>91</v>
      </c>
      <c r="H37" s="198" t="s">
        <v>92</v>
      </c>
      <c r="J37" s="184" t="s">
        <v>47</v>
      </c>
      <c r="K37" s="185" t="s">
        <v>48</v>
      </c>
    </row>
    <row r="38" spans="1:16" ht="30">
      <c r="A38" s="62"/>
      <c r="B38" s="308"/>
      <c r="C38" s="309" t="s">
        <v>52</v>
      </c>
      <c r="D38" s="310"/>
      <c r="E38" s="309" t="s">
        <v>52</v>
      </c>
      <c r="F38" s="310"/>
      <c r="G38" s="198" t="s">
        <v>52</v>
      </c>
      <c r="H38" s="198" t="s">
        <v>52</v>
      </c>
      <c r="J38" s="184" t="s">
        <v>49</v>
      </c>
      <c r="K38" s="185" t="s">
        <v>50</v>
      </c>
    </row>
    <row r="39" spans="1:16" ht="61.5" customHeight="1">
      <c r="A39" s="62"/>
      <c r="B39" s="199" t="s">
        <v>93</v>
      </c>
      <c r="C39" s="328">
        <v>80</v>
      </c>
      <c r="D39" s="329"/>
      <c r="E39" s="328">
        <v>80</v>
      </c>
      <c r="F39" s="329"/>
      <c r="G39" s="200">
        <v>40</v>
      </c>
      <c r="H39" s="200">
        <v>40</v>
      </c>
      <c r="J39" s="184" t="s">
        <v>51</v>
      </c>
      <c r="K39" s="185" t="s">
        <v>52</v>
      </c>
    </row>
    <row r="40" spans="1:16">
      <c r="A40" s="62"/>
      <c r="B40" s="199" t="s">
        <v>94</v>
      </c>
      <c r="C40" s="328">
        <v>150</v>
      </c>
      <c r="D40" s="329"/>
      <c r="E40" s="328">
        <v>150</v>
      </c>
      <c r="F40" s="329"/>
      <c r="G40" s="200">
        <f>50+8+5+40</f>
        <v>103</v>
      </c>
      <c r="H40" s="200">
        <v>103</v>
      </c>
    </row>
    <row r="41" spans="1:16">
      <c r="A41" s="62"/>
      <c r="B41" s="199" t="s">
        <v>95</v>
      </c>
      <c r="C41" s="328">
        <v>15</v>
      </c>
      <c r="D41" s="329"/>
      <c r="E41" s="328">
        <v>15</v>
      </c>
      <c r="F41" s="329"/>
      <c r="G41" s="200">
        <f>1+0.6+14</f>
        <v>15.6</v>
      </c>
      <c r="H41" s="200">
        <v>15.6</v>
      </c>
    </row>
    <row r="42" spans="1:16">
      <c r="A42" s="62"/>
      <c r="B42" s="199" t="s">
        <v>96</v>
      </c>
      <c r="C42" s="328">
        <v>45</v>
      </c>
      <c r="D42" s="329"/>
      <c r="E42" s="328">
        <v>45</v>
      </c>
      <c r="F42" s="329"/>
      <c r="G42" s="200"/>
      <c r="H42" s="200"/>
    </row>
    <row r="43" spans="1:16">
      <c r="A43" s="62"/>
      <c r="B43" s="199" t="s">
        <v>97</v>
      </c>
      <c r="C43" s="328">
        <v>15</v>
      </c>
      <c r="D43" s="329"/>
      <c r="E43" s="328">
        <v>15</v>
      </c>
      <c r="F43" s="329"/>
      <c r="G43" s="200">
        <v>10</v>
      </c>
      <c r="H43" s="200">
        <v>10</v>
      </c>
    </row>
    <row r="44" spans="1:16">
      <c r="A44" s="62"/>
      <c r="B44" s="199" t="s">
        <v>98</v>
      </c>
      <c r="C44" s="328" t="s">
        <v>99</v>
      </c>
      <c r="D44" s="329"/>
      <c r="E44" s="330">
        <v>188</v>
      </c>
      <c r="F44" s="331"/>
      <c r="G44" s="200">
        <v>53.4</v>
      </c>
      <c r="H44" s="200">
        <v>40</v>
      </c>
    </row>
    <row r="45" spans="1:16">
      <c r="A45" s="62"/>
      <c r="B45" s="199" t="s">
        <v>100</v>
      </c>
      <c r="C45" s="328">
        <v>350</v>
      </c>
      <c r="D45" s="329"/>
      <c r="E45" s="328" t="s">
        <v>101</v>
      </c>
      <c r="F45" s="329"/>
      <c r="G45" s="200">
        <f>10+9.6+2+2+142+3+5+6+92.6</f>
        <v>272.2</v>
      </c>
      <c r="H45" s="201">
        <f>8+8+2+114+2.5+4+6+74</f>
        <v>218.5</v>
      </c>
    </row>
    <row r="46" spans="1:16">
      <c r="A46" s="62"/>
      <c r="B46" s="199" t="s">
        <v>102</v>
      </c>
      <c r="C46" s="328">
        <v>200</v>
      </c>
      <c r="D46" s="329"/>
      <c r="E46" s="328" t="s">
        <v>103</v>
      </c>
      <c r="F46" s="329"/>
      <c r="G46" s="200">
        <f>100+14.3+20.7</f>
        <v>135</v>
      </c>
      <c r="H46" s="200">
        <f>100+10+18</f>
        <v>128</v>
      </c>
    </row>
    <row r="47" spans="1:16" ht="25.5" customHeight="1">
      <c r="A47" s="62"/>
      <c r="B47" s="199" t="s">
        <v>104</v>
      </c>
      <c r="C47" s="328">
        <v>15</v>
      </c>
      <c r="D47" s="329"/>
      <c r="E47" s="328">
        <v>15</v>
      </c>
      <c r="F47" s="329"/>
      <c r="G47" s="200">
        <f>5.6</f>
        <v>5.6</v>
      </c>
      <c r="H47" s="200">
        <v>10</v>
      </c>
    </row>
    <row r="48" spans="1:16" ht="38.25">
      <c r="A48" s="62"/>
      <c r="B48" s="199" t="s">
        <v>105</v>
      </c>
      <c r="C48" s="328">
        <v>200</v>
      </c>
      <c r="D48" s="329"/>
      <c r="E48" s="328">
        <v>200</v>
      </c>
      <c r="F48" s="329"/>
      <c r="G48" s="200">
        <v>200</v>
      </c>
      <c r="H48" s="200">
        <v>200</v>
      </c>
    </row>
    <row r="49" spans="1:8" ht="25.5">
      <c r="A49" s="62"/>
      <c r="B49" s="199" t="s">
        <v>106</v>
      </c>
      <c r="C49" s="328" t="s">
        <v>107</v>
      </c>
      <c r="D49" s="329"/>
      <c r="E49" s="328">
        <v>70</v>
      </c>
      <c r="F49" s="329"/>
      <c r="G49" s="200"/>
      <c r="H49" s="200"/>
    </row>
    <row r="50" spans="1:8" ht="25.5">
      <c r="A50" s="62"/>
      <c r="B50" s="199" t="s">
        <v>108</v>
      </c>
      <c r="C50" s="328" t="s">
        <v>109</v>
      </c>
      <c r="D50" s="329"/>
      <c r="E50" s="328">
        <v>35</v>
      </c>
      <c r="F50" s="329"/>
      <c r="G50" s="200">
        <f>85+40</f>
        <v>125</v>
      </c>
      <c r="H50" s="200">
        <f>35+25</f>
        <v>60</v>
      </c>
    </row>
    <row r="51" spans="1:8">
      <c r="A51" s="62"/>
      <c r="B51" s="199" t="s">
        <v>110</v>
      </c>
      <c r="C51" s="328">
        <v>60</v>
      </c>
      <c r="D51" s="329"/>
      <c r="E51" s="328">
        <v>58</v>
      </c>
      <c r="F51" s="329"/>
      <c r="G51" s="200"/>
      <c r="H51" s="200"/>
    </row>
    <row r="52" spans="1:8">
      <c r="A52" s="62"/>
      <c r="B52" s="199" t="s">
        <v>111</v>
      </c>
      <c r="C52" s="328">
        <v>15</v>
      </c>
      <c r="D52" s="329"/>
      <c r="E52" s="328">
        <v>14.7</v>
      </c>
      <c r="F52" s="329"/>
      <c r="G52" s="200"/>
      <c r="H52" s="200"/>
    </row>
    <row r="53" spans="1:8" ht="25.5">
      <c r="A53" s="62"/>
      <c r="B53" s="199" t="s">
        <v>112</v>
      </c>
      <c r="C53" s="328">
        <v>300</v>
      </c>
      <c r="D53" s="329"/>
      <c r="E53" s="328">
        <v>300</v>
      </c>
      <c r="F53" s="329"/>
      <c r="G53" s="200">
        <f>100+50+12</f>
        <v>162</v>
      </c>
      <c r="H53" s="200">
        <v>162</v>
      </c>
    </row>
    <row r="54" spans="1:8" ht="25.5">
      <c r="A54" s="62"/>
      <c r="B54" s="199" t="s">
        <v>113</v>
      </c>
      <c r="C54" s="328">
        <v>150</v>
      </c>
      <c r="D54" s="329"/>
      <c r="E54" s="328">
        <v>150</v>
      </c>
      <c r="F54" s="329"/>
      <c r="G54" s="200">
        <v>206</v>
      </c>
      <c r="H54" s="200">
        <v>200</v>
      </c>
    </row>
    <row r="55" spans="1:8" ht="25.5">
      <c r="A55" s="62"/>
      <c r="B55" s="199" t="s">
        <v>114</v>
      </c>
      <c r="C55" s="328">
        <v>50</v>
      </c>
      <c r="D55" s="329"/>
      <c r="E55" s="328">
        <v>50</v>
      </c>
      <c r="F55" s="329"/>
      <c r="G55" s="200"/>
      <c r="H55" s="200"/>
    </row>
    <row r="56" spans="1:8">
      <c r="A56" s="62"/>
      <c r="B56" s="199" t="s">
        <v>115</v>
      </c>
      <c r="C56" s="328">
        <v>10</v>
      </c>
      <c r="D56" s="329"/>
      <c r="E56" s="328">
        <v>9.8000000000000007</v>
      </c>
      <c r="F56" s="329"/>
      <c r="G56" s="200"/>
      <c r="H56" s="201"/>
    </row>
    <row r="57" spans="1:8" ht="25.5">
      <c r="A57" s="62"/>
      <c r="B57" s="199" t="s">
        <v>116</v>
      </c>
      <c r="C57" s="328">
        <v>10</v>
      </c>
      <c r="D57" s="329"/>
      <c r="E57" s="328">
        <v>10</v>
      </c>
      <c r="F57" s="329"/>
      <c r="G57" s="202"/>
      <c r="H57" s="202"/>
    </row>
    <row r="58" spans="1:8">
      <c r="A58" s="62"/>
      <c r="B58" s="199" t="s">
        <v>117</v>
      </c>
      <c r="C58" s="328">
        <v>30</v>
      </c>
      <c r="D58" s="329"/>
      <c r="E58" s="328">
        <v>30</v>
      </c>
      <c r="F58" s="329"/>
      <c r="G58" s="200">
        <f>10+4+10+2+5+0.6</f>
        <v>31.6</v>
      </c>
      <c r="H58" s="200">
        <f>31.6</f>
        <v>31.6</v>
      </c>
    </row>
    <row r="59" spans="1:8">
      <c r="A59" s="62"/>
      <c r="B59" s="199" t="s">
        <v>118</v>
      </c>
      <c r="C59" s="328">
        <v>15</v>
      </c>
      <c r="D59" s="329"/>
      <c r="E59" s="328">
        <v>15</v>
      </c>
      <c r="F59" s="329"/>
      <c r="G59" s="200">
        <f>2+4+3+5+0.15</f>
        <v>14.15</v>
      </c>
      <c r="H59" s="200">
        <v>14.15</v>
      </c>
    </row>
    <row r="60" spans="1:8">
      <c r="A60" s="62"/>
      <c r="B60" s="199" t="s">
        <v>119</v>
      </c>
      <c r="C60" s="328" t="s">
        <v>120</v>
      </c>
      <c r="D60" s="329"/>
      <c r="E60" s="328">
        <v>40</v>
      </c>
      <c r="F60" s="329"/>
      <c r="G60" s="200">
        <f>80+0.7+0.7</f>
        <v>81.400000000000006</v>
      </c>
      <c r="H60" s="200">
        <v>81.400000000000006</v>
      </c>
    </row>
    <row r="61" spans="1:8">
      <c r="A61" s="62"/>
      <c r="B61" s="199" t="s">
        <v>121</v>
      </c>
      <c r="C61" s="328">
        <v>40</v>
      </c>
      <c r="D61" s="329"/>
      <c r="E61" s="330">
        <v>40</v>
      </c>
      <c r="F61" s="331"/>
      <c r="G61" s="200">
        <f>1+20+3+2+5.4+0.75</f>
        <v>32.15</v>
      </c>
      <c r="H61" s="200">
        <v>32.15</v>
      </c>
    </row>
    <row r="62" spans="1:8">
      <c r="A62" s="62"/>
      <c r="B62" s="199" t="s">
        <v>122</v>
      </c>
      <c r="C62" s="330">
        <v>10</v>
      </c>
      <c r="D62" s="331"/>
      <c r="E62" s="328">
        <v>10</v>
      </c>
      <c r="F62" s="329"/>
      <c r="G62" s="200"/>
      <c r="H62" s="200"/>
    </row>
    <row r="63" spans="1:8">
      <c r="A63" s="62"/>
      <c r="B63" s="199" t="s">
        <v>123</v>
      </c>
      <c r="C63" s="328">
        <v>0.4</v>
      </c>
      <c r="D63" s="329"/>
      <c r="E63" s="328">
        <v>0.4</v>
      </c>
      <c r="F63" s="329"/>
      <c r="G63" s="200"/>
      <c r="H63" s="200"/>
    </row>
    <row r="64" spans="1:8">
      <c r="A64" s="62"/>
      <c r="B64" s="199" t="s">
        <v>124</v>
      </c>
      <c r="C64" s="328">
        <v>1.2</v>
      </c>
      <c r="D64" s="329"/>
      <c r="E64" s="328">
        <v>1.2</v>
      </c>
      <c r="F64" s="329"/>
      <c r="G64" s="200"/>
      <c r="H64" s="200"/>
    </row>
    <row r="65" spans="1:8">
      <c r="A65" s="62"/>
      <c r="B65" s="199" t="s">
        <v>125</v>
      </c>
      <c r="C65" s="328">
        <v>1</v>
      </c>
      <c r="D65" s="329"/>
      <c r="E65" s="328">
        <v>1</v>
      </c>
      <c r="F65" s="329"/>
      <c r="G65" s="200">
        <v>0.1</v>
      </c>
      <c r="H65" s="200">
        <v>0.1</v>
      </c>
    </row>
    <row r="66" spans="1:8">
      <c r="A66" s="62"/>
      <c r="B66" s="199" t="s">
        <v>126</v>
      </c>
      <c r="C66" s="328">
        <v>5</v>
      </c>
      <c r="D66" s="329"/>
      <c r="E66" s="328">
        <v>5</v>
      </c>
      <c r="F66" s="329"/>
      <c r="G66" s="200">
        <v>3.1</v>
      </c>
      <c r="H66" s="200">
        <v>3.1</v>
      </c>
    </row>
    <row r="67" spans="1:8">
      <c r="A67" s="62"/>
      <c r="B67" s="62"/>
      <c r="C67" s="62"/>
      <c r="D67" s="62"/>
      <c r="E67" s="62"/>
      <c r="F67" s="62"/>
      <c r="G67" s="62"/>
      <c r="H67" s="62"/>
    </row>
    <row r="68" spans="1:8">
      <c r="A68" s="62"/>
      <c r="B68" s="62"/>
      <c r="C68" s="62"/>
      <c r="D68" s="62"/>
      <c r="E68" s="62"/>
      <c r="F68" s="62"/>
      <c r="G68" s="62"/>
      <c r="H68" s="62"/>
    </row>
  </sheetData>
  <sheetProtection formatCells="0" formatColumns="0" formatRows="0" insertColumns="0" insertRows="0" insertHyperlinks="0" deleteColumns="0" deleteRows="0" sort="0" autoFilter="0" pivotTables="0"/>
  <mergeCells count="80">
    <mergeCell ref="E48:F48"/>
    <mergeCell ref="E47:F47"/>
    <mergeCell ref="E49:F49"/>
    <mergeCell ref="E50:F50"/>
    <mergeCell ref="E51:F51"/>
    <mergeCell ref="E53:F53"/>
    <mergeCell ref="E52:F52"/>
    <mergeCell ref="E54:F54"/>
    <mergeCell ref="E55:F55"/>
    <mergeCell ref="E56:F56"/>
    <mergeCell ref="E66:F6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43:F43"/>
    <mergeCell ref="E44:F44"/>
    <mergeCell ref="E45:F45"/>
    <mergeCell ref="E46:F46"/>
    <mergeCell ref="C41:D41"/>
    <mergeCell ref="E41:F41"/>
    <mergeCell ref="C46:D46"/>
    <mergeCell ref="C45:D45"/>
    <mergeCell ref="C44:D44"/>
    <mergeCell ref="C43:D43"/>
    <mergeCell ref="C42:D42"/>
    <mergeCell ref="E42:F42"/>
    <mergeCell ref="C40:D40"/>
    <mergeCell ref="C39:D39"/>
    <mergeCell ref="C38:D38"/>
    <mergeCell ref="E38:F38"/>
    <mergeCell ref="E39:F39"/>
    <mergeCell ref="E40:F40"/>
    <mergeCell ref="C51:D51"/>
    <mergeCell ref="C50:D50"/>
    <mergeCell ref="C49:D49"/>
    <mergeCell ref="C48:D48"/>
    <mergeCell ref="C47:D47"/>
    <mergeCell ref="C56:D56"/>
    <mergeCell ref="C55:D55"/>
    <mergeCell ref="C54:D54"/>
    <mergeCell ref="C53:D53"/>
    <mergeCell ref="C52:D52"/>
    <mergeCell ref="C61:D61"/>
    <mergeCell ref="C60:D60"/>
    <mergeCell ref="C59:D59"/>
    <mergeCell ref="C57:D57"/>
    <mergeCell ref="C58:D58"/>
    <mergeCell ref="C66:D66"/>
    <mergeCell ref="C65:D65"/>
    <mergeCell ref="C64:D64"/>
    <mergeCell ref="C63:D63"/>
    <mergeCell ref="C62:D62"/>
    <mergeCell ref="A7:O7"/>
    <mergeCell ref="B30:E31"/>
    <mergeCell ref="B35:H35"/>
    <mergeCell ref="C36:F36"/>
    <mergeCell ref="B37:B38"/>
    <mergeCell ref="C37:D37"/>
    <mergeCell ref="E37:F37"/>
    <mergeCell ref="F30:H30"/>
    <mergeCell ref="B32:E32"/>
    <mergeCell ref="B33:E33"/>
    <mergeCell ref="G36:H36"/>
    <mergeCell ref="A9:A11"/>
    <mergeCell ref="D10:O11"/>
    <mergeCell ref="A14:O14"/>
    <mergeCell ref="A23:O23"/>
    <mergeCell ref="L5:O5"/>
    <mergeCell ref="A5:A6"/>
    <mergeCell ref="B5:B6"/>
    <mergeCell ref="C5:C6"/>
    <mergeCell ref="D5:F5"/>
    <mergeCell ref="G5:G6"/>
    <mergeCell ref="H5:K5"/>
  </mergeCells>
  <pageMargins left="0.70866141732283472" right="0.70866141732283472" top="0.74803149606299213" bottom="0.74803149606299213" header="0.31496062992125984" footer="0.31496062992125984"/>
  <pageSetup paperSize="9" scale="73" fitToWidth="2" fitToHeight="2" orientation="landscape" r:id="rId1"/>
  <rowBreaks count="1" manualBreakCount="1">
    <brk id="34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O70"/>
  <sheetViews>
    <sheetView view="pageBreakPreview" topLeftCell="A22" zoomScale="90" zoomScaleSheetLayoutView="90" workbookViewId="0">
      <selection activeCell="H64" sqref="H64"/>
    </sheetView>
  </sheetViews>
  <sheetFormatPr defaultRowHeight="15"/>
  <cols>
    <col min="1" max="1" width="13.7109375" bestFit="1" customWidth="1"/>
    <col min="2" max="2" width="27.140625" customWidth="1"/>
    <col min="4" max="4" width="10.140625" bestFit="1" customWidth="1"/>
    <col min="6" max="6" width="11.85546875" customWidth="1"/>
    <col min="7" max="7" width="13.42578125" customWidth="1"/>
    <col min="11" max="11" width="13.42578125" customWidth="1"/>
  </cols>
  <sheetData>
    <row r="1" spans="1:15" ht="15.75">
      <c r="A1" s="15" t="s">
        <v>45</v>
      </c>
      <c r="B1" s="14" t="s">
        <v>58</v>
      </c>
    </row>
    <row r="2" spans="1:15" ht="15.75">
      <c r="A2" s="15" t="s">
        <v>47</v>
      </c>
      <c r="B2" s="14" t="s">
        <v>48</v>
      </c>
    </row>
    <row r="3" spans="1:15" ht="15.75">
      <c r="A3" s="15" t="s">
        <v>49</v>
      </c>
      <c r="B3" s="14" t="s">
        <v>50</v>
      </c>
    </row>
    <row r="4" spans="1:15" ht="31.5">
      <c r="A4" s="15" t="s">
        <v>51</v>
      </c>
      <c r="B4" s="14" t="s">
        <v>52</v>
      </c>
    </row>
    <row r="5" spans="1:15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5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ht="18.75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5" s="16" customFormat="1" ht="24">
      <c r="A8" s="17">
        <v>182</v>
      </c>
      <c r="B8" s="55" t="s">
        <v>148</v>
      </c>
      <c r="C8" s="17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5" s="16" customFormat="1" ht="25.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>
      <c r="A10" s="229"/>
      <c r="B10" s="71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>
      <c r="A11" s="229"/>
      <c r="B11" s="71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>
      <c r="A12" s="230"/>
      <c r="B12" s="71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>
      <c r="A13" s="17">
        <v>382</v>
      </c>
      <c r="B13" s="10" t="s">
        <v>56</v>
      </c>
      <c r="C13" s="17">
        <v>200</v>
      </c>
      <c r="D13" s="18">
        <f>20.39/5</f>
        <v>4.0780000000000003</v>
      </c>
      <c r="E13" s="18">
        <f>17.72/5</f>
        <v>3.5439999999999996</v>
      </c>
      <c r="F13" s="18">
        <f>87.89/5</f>
        <v>17.577999999999999</v>
      </c>
      <c r="G13" s="18">
        <f>593/5</f>
        <v>118.6</v>
      </c>
      <c r="H13" s="18">
        <f>0.28/5</f>
        <v>5.6000000000000008E-2</v>
      </c>
      <c r="I13" s="18">
        <f>7.94/5</f>
        <v>1.5880000000000001</v>
      </c>
      <c r="J13" s="18">
        <f>122/5</f>
        <v>24.4</v>
      </c>
      <c r="K13" s="18"/>
      <c r="L13" s="18">
        <f>761.1/5</f>
        <v>152.22</v>
      </c>
      <c r="M13" s="18">
        <f>622.8/5</f>
        <v>124.55999999999999</v>
      </c>
      <c r="N13" s="18">
        <f>106.7/5</f>
        <v>21.34</v>
      </c>
      <c r="O13" s="18">
        <f>2.39/5</f>
        <v>0.47800000000000004</v>
      </c>
    </row>
    <row r="14" spans="1:15" s="16" customFormat="1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16" customFormat="1">
      <c r="A15" s="141" t="s">
        <v>11</v>
      </c>
      <c r="B15" s="141"/>
      <c r="C15" s="141"/>
      <c r="D15" s="142">
        <f>SUM(D8:D14)</f>
        <v>20.547999999999998</v>
      </c>
      <c r="E15" s="142">
        <f t="shared" ref="E15:F15" si="0">SUM(E8:E14)</f>
        <v>23.964000000000002</v>
      </c>
      <c r="F15" s="142">
        <f t="shared" si="0"/>
        <v>88.777999999999992</v>
      </c>
      <c r="G15" s="142">
        <f>SUM(G8:G14)</f>
        <v>654.12</v>
      </c>
      <c r="H15" s="142"/>
      <c r="I15" s="142"/>
      <c r="J15" s="142"/>
      <c r="K15" s="142"/>
      <c r="L15" s="142"/>
      <c r="M15" s="142"/>
      <c r="N15" s="142"/>
      <c r="O15" s="142"/>
    </row>
    <row r="16" spans="1:15" s="16" customFormat="1" ht="18.75">
      <c r="A16" s="326" t="s">
        <v>23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7"/>
    </row>
    <row r="17" spans="1:15" s="16" customFormat="1" ht="25.5">
      <c r="A17" s="17">
        <v>54</v>
      </c>
      <c r="B17" s="10" t="s">
        <v>86</v>
      </c>
      <c r="C17" s="17">
        <v>100</v>
      </c>
      <c r="D17" s="18">
        <f>1.9</f>
        <v>1.9</v>
      </c>
      <c r="E17" s="18">
        <v>6.08</v>
      </c>
      <c r="F17" s="18">
        <v>11.2</v>
      </c>
      <c r="G17" s="18">
        <v>103.9</v>
      </c>
      <c r="H17" s="18">
        <v>0.02</v>
      </c>
      <c r="I17" s="18">
        <v>6.44</v>
      </c>
      <c r="J17" s="18"/>
      <c r="K17" s="18">
        <v>10.6</v>
      </c>
      <c r="L17" s="18">
        <v>29.27</v>
      </c>
      <c r="M17" s="18">
        <v>31.8</v>
      </c>
      <c r="N17" s="18">
        <v>16.829999999999998</v>
      </c>
      <c r="O17" s="18">
        <v>1.48</v>
      </c>
    </row>
    <row r="18" spans="1:15" s="16" customFormat="1" ht="38.25">
      <c r="A18" s="179">
        <v>88</v>
      </c>
      <c r="B18" s="10" t="s">
        <v>133</v>
      </c>
      <c r="C18" s="179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16" customFormat="1">
      <c r="A19" s="17">
        <v>302</v>
      </c>
      <c r="B19" s="10" t="s">
        <v>19</v>
      </c>
      <c r="C19" s="17">
        <v>150</v>
      </c>
      <c r="D19" s="18">
        <f>57.32/100*15</f>
        <v>8.5980000000000008</v>
      </c>
      <c r="E19" s="18">
        <f>40.62/100*15</f>
        <v>6.0929999999999991</v>
      </c>
      <c r="F19" s="18">
        <f>257.61/100*15</f>
        <v>38.641500000000008</v>
      </c>
      <c r="G19" s="18">
        <f>1625/100*15</f>
        <v>243.75</v>
      </c>
      <c r="H19" s="18">
        <f>1.39/100*15</f>
        <v>0.20849999999999999</v>
      </c>
      <c r="I19" s="18"/>
      <c r="J19" s="18"/>
      <c r="K19" s="18">
        <f>4.05/100*15</f>
        <v>0.60750000000000004</v>
      </c>
      <c r="L19" s="18">
        <f>98.8/100*15</f>
        <v>14.82</v>
      </c>
      <c r="M19" s="18">
        <f>1359.5/100*15</f>
        <v>203.92500000000001</v>
      </c>
      <c r="N19" s="18">
        <f>905.5/100*15</f>
        <v>135.82499999999999</v>
      </c>
      <c r="O19" s="18">
        <f>30.4/100*15</f>
        <v>4.5599999999999996</v>
      </c>
    </row>
    <row r="20" spans="1:15" s="16" customFormat="1">
      <c r="A20" s="17">
        <v>278</v>
      </c>
      <c r="B20" s="10" t="s">
        <v>18</v>
      </c>
      <c r="C20" s="17">
        <v>110</v>
      </c>
      <c r="D20" s="18">
        <v>7.83</v>
      </c>
      <c r="E20" s="18">
        <v>8.75</v>
      </c>
      <c r="F20" s="18">
        <v>10.25</v>
      </c>
      <c r="G20" s="18">
        <v>151</v>
      </c>
      <c r="H20" s="18">
        <v>0.05</v>
      </c>
      <c r="I20" s="18">
        <v>0.72</v>
      </c>
      <c r="J20" s="18">
        <v>33.92</v>
      </c>
      <c r="K20" s="18">
        <v>0.55000000000000004</v>
      </c>
      <c r="L20" s="18">
        <v>27.95</v>
      </c>
      <c r="M20" s="18">
        <v>88.37</v>
      </c>
      <c r="N20" s="18">
        <v>18.329999999999998</v>
      </c>
      <c r="O20" s="18">
        <v>0.87</v>
      </c>
    </row>
    <row r="21" spans="1:15" s="16" customFormat="1">
      <c r="A21" s="179">
        <v>389</v>
      </c>
      <c r="B21" s="10" t="s">
        <v>164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>
      <c r="A24" s="140" t="s">
        <v>11</v>
      </c>
      <c r="B24" s="141"/>
      <c r="C24" s="141"/>
      <c r="D24" s="142">
        <f>SUM(D17:D23)</f>
        <v>27.293000000000003</v>
      </c>
      <c r="E24" s="142">
        <f t="shared" ref="E24:G24" si="1">SUM(E17:E23)</f>
        <v>27.352999999999998</v>
      </c>
      <c r="F24" s="142">
        <f t="shared" si="1"/>
        <v>127.274</v>
      </c>
      <c r="G24" s="142">
        <f t="shared" si="1"/>
        <v>893.68</v>
      </c>
      <c r="H24" s="142"/>
      <c r="I24" s="142"/>
      <c r="J24" s="142"/>
      <c r="K24" s="142"/>
      <c r="L24" s="142"/>
      <c r="M24" s="142"/>
      <c r="N24" s="142"/>
      <c r="O24" s="142"/>
    </row>
    <row r="25" spans="1:15" ht="18.75">
      <c r="A25" s="341" t="s">
        <v>22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2"/>
    </row>
    <row r="26" spans="1:15" s="31" customFormat="1" ht="12.75">
      <c r="A26" s="17">
        <v>421</v>
      </c>
      <c r="B26" s="10" t="s">
        <v>53</v>
      </c>
      <c r="C26" s="17">
        <v>50</v>
      </c>
      <c r="D26" s="18">
        <v>3.88</v>
      </c>
      <c r="E26" s="18">
        <v>2.36</v>
      </c>
      <c r="F26" s="18">
        <v>23.55</v>
      </c>
      <c r="G26" s="18">
        <v>131</v>
      </c>
      <c r="H26" s="18">
        <v>7.0000000000000007E-2</v>
      </c>
      <c r="I26" s="18"/>
      <c r="J26" s="18">
        <v>13</v>
      </c>
      <c r="K26" s="18">
        <v>0.69</v>
      </c>
      <c r="L26" s="18">
        <v>11</v>
      </c>
      <c r="M26" s="18">
        <v>37</v>
      </c>
      <c r="N26" s="18">
        <v>14.5</v>
      </c>
      <c r="O26" s="18">
        <v>0.69</v>
      </c>
    </row>
    <row r="27" spans="1:15" s="31" customFormat="1" ht="18.75" customHeight="1">
      <c r="A27" s="17">
        <v>338</v>
      </c>
      <c r="B27" s="10" t="s">
        <v>17</v>
      </c>
      <c r="C27" s="17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>
      <c r="A29" s="140" t="s">
        <v>70</v>
      </c>
      <c r="B29" s="141"/>
      <c r="C29" s="141"/>
      <c r="D29" s="142">
        <f>SUM(D26:D28)</f>
        <v>10.08</v>
      </c>
      <c r="E29" s="142">
        <f t="shared" ref="E29:F29" si="2">SUM(E26:E28)</f>
        <v>7.76</v>
      </c>
      <c r="F29" s="142">
        <f t="shared" si="2"/>
        <v>42.95</v>
      </c>
      <c r="G29" s="142">
        <f>SUM(G26:G28)</f>
        <v>285</v>
      </c>
      <c r="H29" s="142"/>
      <c r="I29" s="142"/>
      <c r="J29" s="142"/>
      <c r="K29" s="142"/>
      <c r="L29" s="142"/>
      <c r="M29" s="142"/>
      <c r="N29" s="142"/>
      <c r="O29" s="142"/>
    </row>
    <row r="30" spans="1:15">
      <c r="A30" s="140" t="s">
        <v>15</v>
      </c>
      <c r="B30" s="141"/>
      <c r="C30" s="141"/>
      <c r="D30" s="163">
        <f>SUM(D8:D14)+SUM(D17:D23)+SUM(D26:D28)</f>
        <v>57.920999999999999</v>
      </c>
      <c r="E30" s="163">
        <f t="shared" ref="E30:G30" si="3">SUM(E8:E14)+SUM(E17:E23)+SUM(E26:E28)</f>
        <v>59.076999999999998</v>
      </c>
      <c r="F30" s="163">
        <f t="shared" si="3"/>
        <v>259.00200000000001</v>
      </c>
      <c r="G30" s="163">
        <f t="shared" si="3"/>
        <v>1832.8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/>
    <row r="32" spans="1:15" ht="39" thickBot="1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1:12" ht="15.75" thickBot="1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1:12" ht="15.75" thickBot="1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1:12" ht="15.75" thickBot="1">
      <c r="B35" s="217" t="s">
        <v>77</v>
      </c>
      <c r="C35" s="218"/>
      <c r="D35" s="218"/>
      <c r="E35" s="218"/>
      <c r="F35" s="44">
        <f>D30</f>
        <v>57.920999999999999</v>
      </c>
      <c r="G35" s="44">
        <f>E30</f>
        <v>59.076999999999998</v>
      </c>
      <c r="H35" s="44">
        <f>F30</f>
        <v>259.00200000000001</v>
      </c>
      <c r="I35" s="44">
        <f>G30</f>
        <v>1832.8</v>
      </c>
    </row>
    <row r="37" spans="1:12" ht="30.75" customHeight="1">
      <c r="A37" s="20"/>
      <c r="B37" s="249" t="s">
        <v>127</v>
      </c>
      <c r="C37" s="249"/>
      <c r="D37" s="249"/>
      <c r="E37" s="249"/>
      <c r="F37" s="249"/>
      <c r="G37" s="249"/>
      <c r="H37" s="249"/>
    </row>
    <row r="38" spans="1:12" ht="21.75" customHeight="1">
      <c r="A38" s="20"/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K38" s="15" t="s">
        <v>45</v>
      </c>
      <c r="L38" s="14" t="s">
        <v>58</v>
      </c>
    </row>
    <row r="39" spans="1:12" ht="21.75" customHeight="1">
      <c r="A39" s="20"/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K39" s="15" t="s">
        <v>47</v>
      </c>
      <c r="L39" s="14" t="s">
        <v>48</v>
      </c>
    </row>
    <row r="40" spans="1:12" ht="30">
      <c r="A40" s="20"/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K40" s="15" t="s">
        <v>49</v>
      </c>
      <c r="L40" s="14" t="s">
        <v>50</v>
      </c>
    </row>
    <row r="41" spans="1:12" ht="31.5">
      <c r="A41" s="20"/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  <c r="K41" s="15" t="s">
        <v>51</v>
      </c>
      <c r="L41" s="14" t="s">
        <v>52</v>
      </c>
    </row>
    <row r="42" spans="1:12">
      <c r="A42" s="20"/>
      <c r="B42" s="97" t="s">
        <v>94</v>
      </c>
      <c r="C42" s="252">
        <v>150</v>
      </c>
      <c r="D42" s="253"/>
      <c r="E42" s="252">
        <v>150</v>
      </c>
      <c r="F42" s="253"/>
      <c r="G42" s="98">
        <f>40+30+8</f>
        <v>78</v>
      </c>
      <c r="H42" s="98">
        <v>78</v>
      </c>
    </row>
    <row r="43" spans="1:12">
      <c r="A43" s="20"/>
      <c r="B43" s="97" t="s">
        <v>95</v>
      </c>
      <c r="C43" s="252">
        <v>15</v>
      </c>
      <c r="D43" s="253"/>
      <c r="E43" s="252">
        <v>15</v>
      </c>
      <c r="F43" s="253"/>
      <c r="G43" s="98">
        <f>4+3.75+35.56+1.48</f>
        <v>44.79</v>
      </c>
      <c r="H43" s="98">
        <v>44.79</v>
      </c>
    </row>
    <row r="44" spans="1:12">
      <c r="A44" s="20"/>
      <c r="B44" s="99" t="s">
        <v>96</v>
      </c>
      <c r="C44" s="254">
        <v>45</v>
      </c>
      <c r="D44" s="255"/>
      <c r="E44" s="254">
        <v>45</v>
      </c>
      <c r="F44" s="255"/>
      <c r="G44" s="100">
        <f>40+35</f>
        <v>75</v>
      </c>
      <c r="H44" s="100">
        <v>75</v>
      </c>
    </row>
    <row r="45" spans="1:12">
      <c r="A45" s="20"/>
      <c r="B45" s="97" t="s">
        <v>97</v>
      </c>
      <c r="C45" s="252">
        <v>15</v>
      </c>
      <c r="D45" s="253"/>
      <c r="E45" s="252">
        <v>15</v>
      </c>
      <c r="F45" s="253"/>
      <c r="G45" s="98"/>
      <c r="H45" s="98"/>
    </row>
    <row r="46" spans="1:12">
      <c r="A46" s="20"/>
      <c r="B46" s="97" t="s">
        <v>98</v>
      </c>
      <c r="C46" s="252" t="s">
        <v>99</v>
      </c>
      <c r="D46" s="253"/>
      <c r="E46" s="256">
        <v>188</v>
      </c>
      <c r="F46" s="257"/>
      <c r="G46" s="98">
        <v>40</v>
      </c>
      <c r="H46" s="98">
        <v>30</v>
      </c>
    </row>
    <row r="47" spans="1:12">
      <c r="A47" s="20"/>
      <c r="B47" s="97" t="s">
        <v>100</v>
      </c>
      <c r="C47" s="252">
        <v>350</v>
      </c>
      <c r="D47" s="253"/>
      <c r="E47" s="252" t="s">
        <v>101</v>
      </c>
      <c r="F47" s="253"/>
      <c r="G47" s="98">
        <f>85.6+24+5+63+12.5+3.25+12+2.5</f>
        <v>207.85</v>
      </c>
      <c r="H47" s="131">
        <f>67+20+50+10+2.5+10+2.5</f>
        <v>162</v>
      </c>
    </row>
    <row r="48" spans="1:12">
      <c r="A48" s="20"/>
      <c r="B48" s="97" t="s">
        <v>102</v>
      </c>
      <c r="C48" s="252">
        <v>200</v>
      </c>
      <c r="D48" s="253"/>
      <c r="E48" s="252" t="s">
        <v>103</v>
      </c>
      <c r="F48" s="253"/>
      <c r="G48" s="98">
        <f>35.7+100</f>
        <v>135.69999999999999</v>
      </c>
      <c r="H48" s="98">
        <v>135.69999999999999</v>
      </c>
    </row>
    <row r="49" spans="1:8" ht="25.5">
      <c r="A49" s="20"/>
      <c r="B49" s="97" t="s">
        <v>104</v>
      </c>
      <c r="C49" s="252">
        <v>15</v>
      </c>
      <c r="D49" s="253"/>
      <c r="E49" s="252">
        <v>15</v>
      </c>
      <c r="F49" s="253"/>
      <c r="G49" s="98"/>
      <c r="H49" s="98"/>
    </row>
    <row r="50" spans="1:8" ht="38.25">
      <c r="A50" s="20"/>
      <c r="B50" s="97" t="s">
        <v>105</v>
      </c>
      <c r="C50" s="252">
        <v>200</v>
      </c>
      <c r="D50" s="253"/>
      <c r="E50" s="252">
        <v>200</v>
      </c>
      <c r="F50" s="253"/>
      <c r="G50" s="98">
        <v>200</v>
      </c>
      <c r="H50" s="98">
        <v>200</v>
      </c>
    </row>
    <row r="51" spans="1:8" ht="25.5">
      <c r="A51" s="20"/>
      <c r="B51" s="97" t="s">
        <v>106</v>
      </c>
      <c r="C51" s="252" t="s">
        <v>107</v>
      </c>
      <c r="D51" s="253"/>
      <c r="E51" s="252">
        <v>70</v>
      </c>
      <c r="F51" s="253"/>
      <c r="G51" s="131">
        <f>52+40</f>
        <v>92</v>
      </c>
      <c r="H51" s="98">
        <f>38+25</f>
        <v>63</v>
      </c>
    </row>
    <row r="52" spans="1:8" ht="25.5">
      <c r="A52" s="20"/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1:8">
      <c r="A53" s="20"/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1:8">
      <c r="A54" s="20"/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1:8" ht="25.5">
      <c r="A55" s="20"/>
      <c r="B55" s="97" t="s">
        <v>112</v>
      </c>
      <c r="C55" s="252">
        <v>300</v>
      </c>
      <c r="D55" s="253"/>
      <c r="E55" s="252">
        <v>300</v>
      </c>
      <c r="F55" s="253"/>
      <c r="G55" s="98">
        <f>100+211+100</f>
        <v>411</v>
      </c>
      <c r="H55" s="98">
        <f>400</f>
        <v>400</v>
      </c>
    </row>
    <row r="56" spans="1:8" ht="38.25">
      <c r="A56" s="20"/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1:8" ht="25.5">
      <c r="A57" s="20"/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1:8">
      <c r="A58" s="20"/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1:8" ht="25.5">
      <c r="A59" s="20"/>
      <c r="B59" s="97" t="s">
        <v>116</v>
      </c>
      <c r="C59" s="252">
        <v>10</v>
      </c>
      <c r="D59" s="253"/>
      <c r="E59" s="252">
        <v>10</v>
      </c>
      <c r="F59" s="253"/>
      <c r="G59" s="103">
        <v>12.5</v>
      </c>
      <c r="H59" s="103"/>
    </row>
    <row r="60" spans="1:8">
      <c r="A60" s="20"/>
      <c r="B60" s="97" t="s">
        <v>117</v>
      </c>
      <c r="C60" s="252">
        <v>30</v>
      </c>
      <c r="D60" s="253"/>
      <c r="E60" s="252">
        <v>30</v>
      </c>
      <c r="F60" s="253"/>
      <c r="G60" s="98">
        <f>10+10+1.1+1.5+1.3+5</f>
        <v>28.900000000000002</v>
      </c>
      <c r="H60" s="98">
        <v>28.9</v>
      </c>
    </row>
    <row r="61" spans="1:8">
      <c r="A61" s="20"/>
      <c r="B61" s="97" t="s">
        <v>118</v>
      </c>
      <c r="C61" s="252">
        <v>15</v>
      </c>
      <c r="D61" s="253"/>
      <c r="E61" s="252">
        <v>15</v>
      </c>
      <c r="F61" s="253"/>
      <c r="G61" s="98">
        <f>6+3+3+5</f>
        <v>17</v>
      </c>
      <c r="H61" s="98">
        <v>17</v>
      </c>
    </row>
    <row r="62" spans="1:8">
      <c r="A62" s="20"/>
      <c r="B62" s="97" t="s">
        <v>119</v>
      </c>
      <c r="C62" s="252" t="s">
        <v>120</v>
      </c>
      <c r="D62" s="253"/>
      <c r="E62" s="252">
        <v>40</v>
      </c>
      <c r="F62" s="253"/>
      <c r="G62" s="98"/>
      <c r="H62" s="98"/>
    </row>
    <row r="63" spans="1:8">
      <c r="A63" s="20"/>
      <c r="B63" s="97" t="s">
        <v>121</v>
      </c>
      <c r="C63" s="252">
        <v>40</v>
      </c>
      <c r="D63" s="253"/>
      <c r="E63" s="256">
        <v>40</v>
      </c>
      <c r="F63" s="257"/>
      <c r="G63" s="98">
        <f>20+6+3+3.7+1</f>
        <v>33.700000000000003</v>
      </c>
      <c r="H63" s="98">
        <v>33.700000000000003</v>
      </c>
    </row>
    <row r="64" spans="1:8">
      <c r="A64" s="20"/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1:8">
      <c r="A65" s="20"/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1:8">
      <c r="A66" s="20"/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1:8">
      <c r="A67" s="20"/>
      <c r="B67" s="97" t="s">
        <v>125</v>
      </c>
      <c r="C67" s="252">
        <v>1</v>
      </c>
      <c r="D67" s="253"/>
      <c r="E67" s="252">
        <v>1</v>
      </c>
      <c r="F67" s="253"/>
      <c r="G67" s="98">
        <v>0.56000000000000005</v>
      </c>
      <c r="H67" s="98">
        <v>0.56000000000000005</v>
      </c>
    </row>
    <row r="68" spans="1:8">
      <c r="A68" s="20"/>
      <c r="B68" s="97" t="s">
        <v>126</v>
      </c>
      <c r="C68" s="252">
        <v>5</v>
      </c>
      <c r="D68" s="253"/>
      <c r="E68" s="252">
        <v>5</v>
      </c>
      <c r="F68" s="253"/>
      <c r="G68" s="98">
        <v>3.56</v>
      </c>
      <c r="H68" s="98">
        <v>3.56</v>
      </c>
    </row>
    <row r="69" spans="1:8">
      <c r="A69" s="20"/>
      <c r="B69" s="20"/>
      <c r="C69" s="20"/>
      <c r="D69" s="20"/>
      <c r="E69" s="20"/>
      <c r="F69" s="20"/>
      <c r="G69" s="20"/>
      <c r="H69" s="20"/>
    </row>
    <row r="70" spans="1:8">
      <c r="A70" s="20"/>
      <c r="B70" s="20"/>
      <c r="C70" s="20"/>
      <c r="D70" s="20"/>
      <c r="E70" s="20"/>
      <c r="F70" s="20"/>
      <c r="G70" s="20"/>
      <c r="H70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E68:F68"/>
    <mergeCell ref="E59:F59"/>
    <mergeCell ref="E60:F60"/>
    <mergeCell ref="E61:F61"/>
    <mergeCell ref="C48:D48"/>
    <mergeCell ref="E49:F49"/>
    <mergeCell ref="E50:F50"/>
    <mergeCell ref="E62:F62"/>
    <mergeCell ref="E63:F63"/>
    <mergeCell ref="E54:F54"/>
    <mergeCell ref="C68:D68"/>
    <mergeCell ref="C67:D67"/>
    <mergeCell ref="C66:D66"/>
    <mergeCell ref="C65:D65"/>
    <mergeCell ref="C64:D64"/>
    <mergeCell ref="C63:D63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E44:F44"/>
    <mergeCell ref="E45:F45"/>
    <mergeCell ref="E46:F46"/>
    <mergeCell ref="E47:F47"/>
    <mergeCell ref="E48:F48"/>
    <mergeCell ref="C57:D57"/>
    <mergeCell ref="C56:D56"/>
    <mergeCell ref="C55:D55"/>
    <mergeCell ref="C54:D54"/>
    <mergeCell ref="E65:F65"/>
    <mergeCell ref="C62:D62"/>
    <mergeCell ref="C61:D61"/>
    <mergeCell ref="C60:D60"/>
    <mergeCell ref="C59:D59"/>
    <mergeCell ref="C58:D58"/>
    <mergeCell ref="E66:F66"/>
    <mergeCell ref="E64:F64"/>
    <mergeCell ref="E67:F67"/>
    <mergeCell ref="E57:F57"/>
    <mergeCell ref="E58:F58"/>
    <mergeCell ref="E51:F51"/>
    <mergeCell ref="E52:F52"/>
    <mergeCell ref="E53:F53"/>
    <mergeCell ref="E55:F55"/>
    <mergeCell ref="E56:F56"/>
    <mergeCell ref="C41:D41"/>
    <mergeCell ref="E41:F41"/>
    <mergeCell ref="C43:D43"/>
    <mergeCell ref="C42:D42"/>
    <mergeCell ref="E42:F42"/>
    <mergeCell ref="E43:F43"/>
    <mergeCell ref="B37:H37"/>
    <mergeCell ref="C38:F38"/>
    <mergeCell ref="B39:B40"/>
    <mergeCell ref="C39:D39"/>
    <mergeCell ref="E39:F39"/>
    <mergeCell ref="G38:H38"/>
    <mergeCell ref="E40:F40"/>
    <mergeCell ref="C40:D40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6" fitToWidth="2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S87"/>
  <sheetViews>
    <sheetView view="pageBreakPreview" topLeftCell="A16" zoomScale="80" zoomScaleNormal="90" zoomScaleSheetLayoutView="80" workbookViewId="0">
      <selection activeCell="G29" sqref="D29:G29"/>
    </sheetView>
  </sheetViews>
  <sheetFormatPr defaultRowHeight="15"/>
  <cols>
    <col min="1" max="1" width="12.7109375" bestFit="1" customWidth="1"/>
    <col min="2" max="2" width="24.5703125" customWidth="1"/>
    <col min="7" max="7" width="12.7109375" customWidth="1"/>
    <col min="10" max="10" width="10.140625" bestFit="1" customWidth="1"/>
  </cols>
  <sheetData>
    <row r="1" spans="1:19" ht="15.75">
      <c r="A1" s="15" t="s">
        <v>45</v>
      </c>
      <c r="B1" s="14" t="s">
        <v>60</v>
      </c>
    </row>
    <row r="2" spans="1:19" ht="15.75">
      <c r="A2" s="15" t="s">
        <v>47</v>
      </c>
      <c r="B2" s="14" t="s">
        <v>48</v>
      </c>
    </row>
    <row r="3" spans="1:19" ht="15.75">
      <c r="A3" s="15" t="s">
        <v>49</v>
      </c>
      <c r="B3" s="14" t="s">
        <v>50</v>
      </c>
    </row>
    <row r="4" spans="1:19" ht="31.5">
      <c r="A4" s="15" t="s">
        <v>51</v>
      </c>
      <c r="B4" s="14" t="s">
        <v>52</v>
      </c>
    </row>
    <row r="5" spans="1:19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ht="18.75">
      <c r="A7" s="343" t="s">
        <v>42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2"/>
    </row>
    <row r="8" spans="1:19" s="12" customFormat="1" ht="25.5">
      <c r="A8" s="9">
        <v>182</v>
      </c>
      <c r="B8" s="10" t="s">
        <v>155</v>
      </c>
      <c r="C8" s="9">
        <v>220</v>
      </c>
      <c r="D8" s="11">
        <v>5.0999999999999996</v>
      </c>
      <c r="E8" s="11">
        <v>10.72</v>
      </c>
      <c r="F8" s="11">
        <v>33.42</v>
      </c>
      <c r="G8" s="11">
        <v>251</v>
      </c>
      <c r="H8" s="11">
        <v>0.06</v>
      </c>
      <c r="I8" s="11">
        <v>1.17</v>
      </c>
      <c r="J8" s="11">
        <v>58</v>
      </c>
      <c r="K8" s="11">
        <v>0.21</v>
      </c>
      <c r="L8" s="11">
        <v>130.09</v>
      </c>
      <c r="M8" s="11">
        <v>138.13999999999999</v>
      </c>
      <c r="N8" s="11">
        <v>30.12</v>
      </c>
      <c r="O8" s="11">
        <v>0.47</v>
      </c>
    </row>
    <row r="9" spans="1:19" s="16" customFormat="1" ht="25.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>
      <c r="A13" s="17">
        <v>352</v>
      </c>
      <c r="B13" s="10" t="s">
        <v>61</v>
      </c>
      <c r="C13" s="17">
        <v>200</v>
      </c>
      <c r="D13" s="18">
        <f>0.54/5</f>
        <v>0.10800000000000001</v>
      </c>
      <c r="E13" s="18">
        <f>0.6/5</f>
        <v>0.12</v>
      </c>
      <c r="F13" s="18">
        <f>125.46/5</f>
        <v>25.091999999999999</v>
      </c>
      <c r="G13" s="18">
        <f>596/5</f>
        <v>119.2</v>
      </c>
      <c r="H13" s="18">
        <f>0.05/5</f>
        <v>0.01</v>
      </c>
      <c r="I13" s="18">
        <f>9.15/5</f>
        <v>1.83</v>
      </c>
      <c r="J13" s="18"/>
      <c r="K13" s="18">
        <f>0.3/5</f>
        <v>0.06</v>
      </c>
      <c r="L13" s="18">
        <f>57.3/5</f>
        <v>11.459999999999999</v>
      </c>
      <c r="M13" s="18">
        <f>33.1/5</f>
        <v>6.62</v>
      </c>
      <c r="N13" s="18">
        <f>18.2/5</f>
        <v>3.6399999999999997</v>
      </c>
      <c r="O13" s="48">
        <v>0.56999999999999995</v>
      </c>
    </row>
    <row r="14" spans="1:19" s="16" customFormat="1">
      <c r="A14" s="140" t="s">
        <v>11</v>
      </c>
      <c r="B14" s="141"/>
      <c r="C14" s="141"/>
      <c r="D14" s="159">
        <f>SUM(D8:D13)</f>
        <v>13.988</v>
      </c>
      <c r="E14" s="159">
        <f t="shared" ref="E14:G14" si="0">SUM(E8:E13)</f>
        <v>23.94</v>
      </c>
      <c r="F14" s="159">
        <f t="shared" si="0"/>
        <v>85.042000000000002</v>
      </c>
      <c r="G14" s="159">
        <f t="shared" si="0"/>
        <v>588.20000000000005</v>
      </c>
      <c r="H14" s="159"/>
      <c r="I14" s="159"/>
      <c r="J14" s="159"/>
      <c r="K14" s="159"/>
      <c r="L14" s="159"/>
      <c r="M14" s="159"/>
      <c r="N14" s="159"/>
      <c r="O14" s="159"/>
    </row>
    <row r="15" spans="1:19" s="16" customFormat="1" ht="18.75">
      <c r="B15" s="65"/>
      <c r="C15" s="65"/>
      <c r="D15" s="65"/>
      <c r="E15" s="65"/>
      <c r="F15" s="65"/>
      <c r="G15" s="61" t="s">
        <v>23</v>
      </c>
      <c r="H15" s="65"/>
      <c r="I15" s="65"/>
      <c r="J15" s="65"/>
      <c r="K15" s="65"/>
      <c r="L15" s="65"/>
      <c r="M15" s="65"/>
      <c r="N15" s="65"/>
      <c r="O15" s="66"/>
    </row>
    <row r="16" spans="1:19" s="16" customFormat="1" ht="25.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31" customFormat="1" ht="38.25">
      <c r="A17" s="17">
        <v>102</v>
      </c>
      <c r="B17" s="10" t="s">
        <v>128</v>
      </c>
      <c r="C17" s="17">
        <v>250</v>
      </c>
      <c r="D17" s="18">
        <f>0.7 +4.9</f>
        <v>5.6000000000000005</v>
      </c>
      <c r="E17" s="18">
        <f xml:space="preserve"> 0.175+10.66</f>
        <v>10.835000000000001</v>
      </c>
      <c r="F17" s="18">
        <v>19.23</v>
      </c>
      <c r="G17" s="18">
        <v>144.43</v>
      </c>
      <c r="H17" s="18">
        <v>0.15</v>
      </c>
      <c r="I17" s="18">
        <v>5.83</v>
      </c>
      <c r="J17" s="18"/>
      <c r="K17" s="18">
        <v>2.4500000000000002</v>
      </c>
      <c r="L17" s="18">
        <f>(10/1000*175)+41.48</f>
        <v>43.23</v>
      </c>
      <c r="M17" s="18">
        <v>137.78</v>
      </c>
      <c r="N17" s="18">
        <v>38.25</v>
      </c>
      <c r="O17" s="18">
        <v>1.83</v>
      </c>
    </row>
    <row r="18" spans="1:15" s="16" customFormat="1" ht="25.5">
      <c r="A18" s="17">
        <v>261</v>
      </c>
      <c r="B18" s="10" t="s">
        <v>136</v>
      </c>
      <c r="C18" s="17">
        <v>100</v>
      </c>
      <c r="D18" s="18">
        <v>13.26</v>
      </c>
      <c r="E18" s="18">
        <v>8.82</v>
      </c>
      <c r="F18" s="18">
        <v>2.62</v>
      </c>
      <c r="G18" s="18">
        <v>160</v>
      </c>
      <c r="H18" s="18">
        <v>0.19</v>
      </c>
      <c r="I18" s="18">
        <v>24.77</v>
      </c>
      <c r="J18" s="18">
        <v>2337</v>
      </c>
      <c r="K18" s="18">
        <v>2.59</v>
      </c>
      <c r="L18" s="18">
        <v>25.62</v>
      </c>
      <c r="M18" s="18">
        <v>245.55</v>
      </c>
      <c r="N18" s="18">
        <v>16.829999999999998</v>
      </c>
      <c r="O18" s="18">
        <v>13.51</v>
      </c>
    </row>
    <row r="19" spans="1:15" s="16" customFormat="1">
      <c r="A19" s="17">
        <v>312</v>
      </c>
      <c r="B19" s="10" t="s">
        <v>13</v>
      </c>
      <c r="C19" s="17">
        <v>150</v>
      </c>
      <c r="D19" s="18">
        <f>20.473/100*15</f>
        <v>3.0709499999999998</v>
      </c>
      <c r="E19" s="18">
        <f>32.01/100/15</f>
        <v>2.1340000000000001E-2</v>
      </c>
      <c r="F19" s="18">
        <f>136.26/100*15</f>
        <v>20.438999999999997</v>
      </c>
      <c r="G19" s="18">
        <f>915/100*15</f>
        <v>137.25</v>
      </c>
      <c r="H19" s="18">
        <f>0.93/100*15</f>
        <v>0.13950000000000001</v>
      </c>
      <c r="I19" s="18">
        <f>121.07/100*15</f>
        <v>18.160499999999999</v>
      </c>
      <c r="J19" s="18"/>
      <c r="K19" s="18">
        <f>1.21/100*15</f>
        <v>0.18149999999999999</v>
      </c>
      <c r="L19" s="18">
        <f>246.5/100*15</f>
        <v>36.974999999999994</v>
      </c>
      <c r="M19" s="18">
        <f>577.3/100*15</f>
        <v>86.594999999999999</v>
      </c>
      <c r="N19" s="18">
        <f>185/100*15</f>
        <v>27.75</v>
      </c>
      <c r="O19" s="18">
        <f>6.73/100*15</f>
        <v>1.0095000000000001</v>
      </c>
    </row>
    <row r="20" spans="1:15" s="16" customFormat="1">
      <c r="A20" s="172">
        <v>375</v>
      </c>
      <c r="B20" s="10" t="s">
        <v>160</v>
      </c>
      <c r="C20" s="17">
        <v>200</v>
      </c>
      <c r="D20" s="18">
        <f>2/5</f>
        <v>0.4</v>
      </c>
      <c r="E20" s="18">
        <f>0.51/5</f>
        <v>0.10200000000000001</v>
      </c>
      <c r="F20" s="18">
        <f>0.4/5</f>
        <v>0.08</v>
      </c>
      <c r="G20" s="18">
        <f>32/5</f>
        <v>6.4</v>
      </c>
      <c r="H20" s="18">
        <f>0.01/5</f>
        <v>2E-3</v>
      </c>
      <c r="I20" s="18">
        <f>1/5</f>
        <v>0.2</v>
      </c>
      <c r="J20" s="18">
        <f>0</f>
        <v>0</v>
      </c>
      <c r="K20" s="18">
        <f>0</f>
        <v>0</v>
      </c>
      <c r="L20" s="18">
        <f>98.1/5</f>
        <v>19.619999999999997</v>
      </c>
      <c r="M20" s="18">
        <f>82.4/5</f>
        <v>16.48</v>
      </c>
      <c r="N20" s="18">
        <f>44/5</f>
        <v>8.8000000000000007</v>
      </c>
      <c r="O20" s="18">
        <f>8.2/5</f>
        <v>1.64</v>
      </c>
    </row>
    <row r="21" spans="1:15" s="16" customFormat="1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16" customFormat="1">
      <c r="A23" s="140" t="s">
        <v>11</v>
      </c>
      <c r="B23" s="141"/>
      <c r="C23" s="141"/>
      <c r="D23" s="159">
        <f>SUM(D16:D22)</f>
        <v>29.042950000000001</v>
      </c>
      <c r="E23" s="159">
        <f t="shared" ref="E23:G23" si="1">SUM(E16:E22)</f>
        <v>24.30734</v>
      </c>
      <c r="F23" s="159">
        <f t="shared" si="1"/>
        <v>87.949000000000012</v>
      </c>
      <c r="G23" s="159">
        <f t="shared" si="1"/>
        <v>693.96</v>
      </c>
      <c r="H23" s="159"/>
      <c r="I23" s="159"/>
      <c r="J23" s="159"/>
      <c r="K23" s="159"/>
      <c r="L23" s="159"/>
      <c r="M23" s="159"/>
      <c r="N23" s="159"/>
      <c r="O23" s="159"/>
    </row>
    <row r="24" spans="1:15" ht="18.75">
      <c r="B24" s="59"/>
      <c r="C24" s="59"/>
      <c r="D24" s="59"/>
      <c r="E24" s="59"/>
      <c r="F24" s="59"/>
      <c r="G24" s="58" t="s">
        <v>22</v>
      </c>
      <c r="H24" s="59"/>
      <c r="I24" s="59"/>
      <c r="J24" s="59"/>
      <c r="K24" s="59"/>
      <c r="L24" s="59"/>
      <c r="M24" s="59"/>
      <c r="N24" s="59"/>
      <c r="O24" s="60"/>
    </row>
    <row r="25" spans="1:15" s="50" customFormat="1" ht="12.75">
      <c r="A25" s="49"/>
      <c r="B25" s="38" t="s">
        <v>162</v>
      </c>
      <c r="C25" s="49">
        <v>20</v>
      </c>
      <c r="D25" s="181">
        <v>1.7</v>
      </c>
      <c r="E25" s="180">
        <v>2.2599999999999998</v>
      </c>
      <c r="F25" s="181">
        <v>13.94</v>
      </c>
      <c r="G25" s="181">
        <v>82.9</v>
      </c>
      <c r="H25" s="181">
        <v>0.02</v>
      </c>
      <c r="I25" s="181"/>
      <c r="J25" s="181">
        <v>13</v>
      </c>
      <c r="K25" s="181">
        <v>0.26</v>
      </c>
      <c r="L25" s="181">
        <v>8.1999999999999993</v>
      </c>
      <c r="M25" s="181">
        <v>17.399999999999999</v>
      </c>
      <c r="N25" s="181">
        <v>3</v>
      </c>
      <c r="O25" s="181">
        <v>0.2</v>
      </c>
    </row>
    <row r="26" spans="1:15" s="16" customFormat="1">
      <c r="A26" s="17">
        <v>386</v>
      </c>
      <c r="B26" s="10" t="s">
        <v>72</v>
      </c>
      <c r="C26" s="17">
        <v>200</v>
      </c>
      <c r="D26" s="18">
        <v>5.8</v>
      </c>
      <c r="E26" s="18">
        <v>5</v>
      </c>
      <c r="F26" s="18">
        <v>8</v>
      </c>
      <c r="G26" s="18">
        <v>100</v>
      </c>
      <c r="H26" s="18">
        <v>0.08</v>
      </c>
      <c r="I26" s="18">
        <v>1.4</v>
      </c>
      <c r="J26" s="18">
        <v>40</v>
      </c>
      <c r="K26" s="18"/>
      <c r="L26" s="18">
        <v>240</v>
      </c>
      <c r="M26" s="18">
        <v>180</v>
      </c>
      <c r="N26" s="18">
        <v>28</v>
      </c>
      <c r="O26" s="18">
        <v>0.2</v>
      </c>
    </row>
    <row r="27" spans="1:15" s="16" customFormat="1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>
      <c r="A28" s="140" t="s">
        <v>11</v>
      </c>
      <c r="B28" s="141"/>
      <c r="C28" s="141"/>
      <c r="D28" s="164">
        <f>SUM(D25:D27)</f>
        <v>9</v>
      </c>
      <c r="E28" s="164">
        <f t="shared" ref="E28:G28" si="2">SUM(E25:E27)</f>
        <v>7.76</v>
      </c>
      <c r="F28" s="164">
        <f t="shared" si="2"/>
        <v>42.94</v>
      </c>
      <c r="G28" s="164">
        <f t="shared" si="2"/>
        <v>278.89999999999998</v>
      </c>
      <c r="H28" s="159"/>
      <c r="I28" s="159"/>
      <c r="J28" s="159"/>
      <c r="K28" s="159"/>
      <c r="L28" s="159"/>
      <c r="M28" s="159"/>
      <c r="N28" s="159"/>
      <c r="O28" s="159"/>
    </row>
    <row r="29" spans="1:15" ht="15" customHeight="1">
      <c r="A29" s="140" t="s">
        <v>15</v>
      </c>
      <c r="B29" s="141"/>
      <c r="C29" s="141"/>
      <c r="D29" s="163">
        <f t="shared" ref="D29:F29" si="3">SUM(D8:D13)+SUM(D16:D22)+SUM(D25:D27)</f>
        <v>52.030950000000004</v>
      </c>
      <c r="E29" s="163">
        <f t="shared" si="3"/>
        <v>56.007339999999999</v>
      </c>
      <c r="F29" s="163">
        <f t="shared" si="3"/>
        <v>215.93100000000001</v>
      </c>
      <c r="G29" s="163">
        <f>SUM(G8:G13)+SUM(G16:G22)+SUM(G25:G27)</f>
        <v>1561.06</v>
      </c>
      <c r="H29" s="162"/>
      <c r="I29" s="162"/>
      <c r="J29" s="162"/>
      <c r="K29" s="162"/>
      <c r="L29" s="162"/>
      <c r="M29" s="162"/>
      <c r="N29" s="162"/>
      <c r="O29" s="162"/>
    </row>
    <row r="30" spans="1:15" ht="15.75" thickBot="1"/>
    <row r="31" spans="1:15" ht="39" thickBot="1">
      <c r="A31" s="20"/>
      <c r="B31" s="20"/>
      <c r="C31" s="210" t="s">
        <v>74</v>
      </c>
      <c r="D31" s="211"/>
      <c r="E31" s="211"/>
      <c r="F31" s="211"/>
      <c r="G31" s="214" t="s">
        <v>75</v>
      </c>
      <c r="H31" s="215"/>
      <c r="I31" s="216"/>
      <c r="J31" s="41" t="s">
        <v>76</v>
      </c>
      <c r="K31" s="20"/>
      <c r="L31" s="20"/>
      <c r="M31" s="20"/>
      <c r="N31" s="20"/>
      <c r="O31" s="20"/>
    </row>
    <row r="32" spans="1:15" s="16" customFormat="1" ht="15.75" thickBot="1">
      <c r="A32" s="45"/>
      <c r="B32" s="46"/>
      <c r="C32" s="212"/>
      <c r="D32" s="213"/>
      <c r="E32" s="213"/>
      <c r="F32" s="213"/>
      <c r="G32" s="42" t="s">
        <v>1</v>
      </c>
      <c r="H32" s="42" t="s">
        <v>2</v>
      </c>
      <c r="I32" s="42" t="s">
        <v>3</v>
      </c>
      <c r="J32" s="43"/>
      <c r="K32" s="47"/>
      <c r="L32" s="47"/>
      <c r="M32" s="47"/>
      <c r="N32" s="47"/>
      <c r="O32" s="47"/>
    </row>
    <row r="33" spans="1:15" ht="15.75" thickBot="1">
      <c r="A33" s="20"/>
      <c r="B33" s="20"/>
      <c r="C33" s="217" t="s">
        <v>78</v>
      </c>
      <c r="D33" s="218"/>
      <c r="E33" s="218"/>
      <c r="F33" s="218"/>
      <c r="G33" s="42" t="s">
        <v>79</v>
      </c>
      <c r="H33" s="42" t="s">
        <v>80</v>
      </c>
      <c r="I33" s="42" t="s">
        <v>81</v>
      </c>
      <c r="J33" s="42" t="s">
        <v>82</v>
      </c>
      <c r="K33" s="20"/>
      <c r="L33" s="20"/>
      <c r="M33" s="20"/>
      <c r="N33" s="20"/>
      <c r="O33" s="20"/>
    </row>
    <row r="34" spans="1:15" ht="15.75" thickBot="1">
      <c r="A34" s="20"/>
      <c r="B34" s="20"/>
      <c r="C34" s="217" t="s">
        <v>77</v>
      </c>
      <c r="D34" s="218"/>
      <c r="E34" s="218"/>
      <c r="F34" s="218"/>
      <c r="G34" s="44">
        <f>D29</f>
        <v>52.030950000000004</v>
      </c>
      <c r="H34" s="44">
        <f>E29</f>
        <v>56.007339999999999</v>
      </c>
      <c r="I34" s="44">
        <f>F29</f>
        <v>215.93100000000001</v>
      </c>
      <c r="J34" s="44">
        <f>G29</f>
        <v>1561.06</v>
      </c>
      <c r="K34" s="20"/>
      <c r="L34" s="20"/>
      <c r="M34" s="20"/>
      <c r="N34" s="20"/>
      <c r="O34" s="20"/>
    </row>
    <row r="35" spans="1:15">
      <c r="K35" s="20"/>
      <c r="L35" s="20"/>
      <c r="M35" s="20"/>
      <c r="N35" s="20"/>
      <c r="O35" s="20"/>
    </row>
    <row r="36" spans="1:15" ht="47.25" customHeight="1">
      <c r="B36" s="249" t="s">
        <v>127</v>
      </c>
      <c r="C36" s="249"/>
      <c r="D36" s="249"/>
      <c r="E36" s="249"/>
      <c r="F36" s="249"/>
      <c r="G36" s="249"/>
      <c r="H36" s="249"/>
    </row>
    <row r="37" spans="1:15" ht="27" customHeight="1">
      <c r="B37" s="96" t="s">
        <v>89</v>
      </c>
      <c r="C37" s="244" t="s">
        <v>90</v>
      </c>
      <c r="D37" s="244"/>
      <c r="E37" s="244"/>
      <c r="F37" s="244"/>
      <c r="G37" s="250" t="s">
        <v>146</v>
      </c>
      <c r="H37" s="251"/>
      <c r="K37" s="15" t="s">
        <v>45</v>
      </c>
      <c r="L37" s="14" t="s">
        <v>60</v>
      </c>
    </row>
    <row r="38" spans="1:15" ht="31.5">
      <c r="B38" s="247"/>
      <c r="C38" s="245" t="s">
        <v>91</v>
      </c>
      <c r="D38" s="246"/>
      <c r="E38" s="245" t="s">
        <v>92</v>
      </c>
      <c r="F38" s="246"/>
      <c r="G38" s="96" t="s">
        <v>91</v>
      </c>
      <c r="H38" s="96" t="s">
        <v>92</v>
      </c>
      <c r="K38" s="15" t="s">
        <v>47</v>
      </c>
      <c r="L38" s="14" t="s">
        <v>48</v>
      </c>
    </row>
    <row r="39" spans="1:15" ht="30">
      <c r="B39" s="248"/>
      <c r="C39" s="245" t="s">
        <v>52</v>
      </c>
      <c r="D39" s="246"/>
      <c r="E39" s="245" t="s">
        <v>52</v>
      </c>
      <c r="F39" s="246"/>
      <c r="G39" s="96" t="s">
        <v>52</v>
      </c>
      <c r="H39" s="96" t="s">
        <v>52</v>
      </c>
      <c r="K39" s="15" t="s">
        <v>49</v>
      </c>
      <c r="L39" s="14" t="s">
        <v>50</v>
      </c>
    </row>
    <row r="40" spans="1:15" ht="63">
      <c r="B40" s="97" t="s">
        <v>93</v>
      </c>
      <c r="C40" s="252">
        <v>80</v>
      </c>
      <c r="D40" s="253"/>
      <c r="E40" s="252">
        <v>80</v>
      </c>
      <c r="F40" s="253"/>
      <c r="G40" s="98">
        <v>40</v>
      </c>
      <c r="H40" s="98">
        <v>40</v>
      </c>
      <c r="K40" s="15" t="s">
        <v>51</v>
      </c>
      <c r="L40" s="14" t="s">
        <v>52</v>
      </c>
    </row>
    <row r="41" spans="1:15">
      <c r="B41" s="97" t="s">
        <v>94</v>
      </c>
      <c r="C41" s="252">
        <v>150</v>
      </c>
      <c r="D41" s="253"/>
      <c r="E41" s="252">
        <v>150</v>
      </c>
      <c r="F41" s="253"/>
      <c r="G41" s="98">
        <f>50+40</f>
        <v>90</v>
      </c>
      <c r="H41" s="98">
        <v>90</v>
      </c>
    </row>
    <row r="42" spans="1:15">
      <c r="B42" s="97" t="s">
        <v>95</v>
      </c>
      <c r="C42" s="252">
        <v>15</v>
      </c>
      <c r="D42" s="253"/>
      <c r="E42" s="252">
        <v>15</v>
      </c>
      <c r="F42" s="253"/>
      <c r="G42" s="98">
        <f>3+3.75+2.8</f>
        <v>9.5500000000000007</v>
      </c>
      <c r="H42" s="98">
        <f>9.55</f>
        <v>9.5500000000000007</v>
      </c>
    </row>
    <row r="43" spans="1:15">
      <c r="B43" s="99" t="s">
        <v>96</v>
      </c>
      <c r="C43" s="254">
        <v>45</v>
      </c>
      <c r="D43" s="255"/>
      <c r="E43" s="254">
        <v>45</v>
      </c>
      <c r="F43" s="255"/>
      <c r="G43" s="100">
        <f>21+31</f>
        <v>52</v>
      </c>
      <c r="H43" s="100">
        <v>52</v>
      </c>
    </row>
    <row r="44" spans="1:15">
      <c r="B44" s="97" t="s">
        <v>97</v>
      </c>
      <c r="C44" s="252">
        <v>15</v>
      </c>
      <c r="D44" s="253"/>
      <c r="E44" s="252">
        <v>15</v>
      </c>
      <c r="F44" s="253"/>
      <c r="G44" s="98"/>
      <c r="H44" s="98"/>
    </row>
    <row r="45" spans="1:15">
      <c r="B45" s="97" t="s">
        <v>98</v>
      </c>
      <c r="C45" s="252" t="s">
        <v>99</v>
      </c>
      <c r="D45" s="253"/>
      <c r="E45" s="256">
        <v>188</v>
      </c>
      <c r="F45" s="257"/>
      <c r="G45" s="98">
        <f>67+171</f>
        <v>238</v>
      </c>
      <c r="H45" s="98">
        <f>50+129</f>
        <v>179</v>
      </c>
    </row>
    <row r="46" spans="1:15">
      <c r="B46" s="97" t="s">
        <v>100</v>
      </c>
      <c r="C46" s="252">
        <v>350</v>
      </c>
      <c r="D46" s="253"/>
      <c r="E46" s="252" t="s">
        <v>101</v>
      </c>
      <c r="F46" s="253"/>
      <c r="G46" s="98">
        <f>12+12.5+3.25+98.6+12.5</f>
        <v>138.85</v>
      </c>
      <c r="H46" s="131">
        <f>10+10+2.5+78.9+10</f>
        <v>111.4</v>
      </c>
    </row>
    <row r="47" spans="1:15">
      <c r="B47" s="97" t="s">
        <v>102</v>
      </c>
      <c r="C47" s="252">
        <v>200</v>
      </c>
      <c r="D47" s="253"/>
      <c r="E47" s="252" t="s">
        <v>103</v>
      </c>
      <c r="F47" s="253"/>
      <c r="G47" s="98">
        <v>134</v>
      </c>
      <c r="H47" s="98">
        <v>130</v>
      </c>
    </row>
    <row r="48" spans="1:15" ht="25.5">
      <c r="B48" s="97" t="s">
        <v>104</v>
      </c>
      <c r="C48" s="252">
        <v>15</v>
      </c>
      <c r="D48" s="253"/>
      <c r="E48" s="252">
        <v>15</v>
      </c>
      <c r="F48" s="253"/>
      <c r="G48" s="98"/>
      <c r="H48" s="98"/>
    </row>
    <row r="49" spans="2:8" ht="55.5" customHeight="1">
      <c r="B49" s="97" t="s">
        <v>105</v>
      </c>
      <c r="C49" s="252">
        <v>200</v>
      </c>
      <c r="D49" s="253"/>
      <c r="E49" s="252">
        <v>200</v>
      </c>
      <c r="F49" s="253"/>
      <c r="G49" s="98"/>
      <c r="H49" s="98"/>
    </row>
    <row r="50" spans="2:8" ht="25.5">
      <c r="B50" s="97" t="s">
        <v>106</v>
      </c>
      <c r="C50" s="252" t="s">
        <v>107</v>
      </c>
      <c r="D50" s="253"/>
      <c r="E50" s="252">
        <v>70</v>
      </c>
      <c r="F50" s="253"/>
      <c r="G50" s="98">
        <f>81+40</f>
        <v>121</v>
      </c>
      <c r="H50" s="98">
        <f>71+25</f>
        <v>96</v>
      </c>
    </row>
    <row r="51" spans="2:8" ht="38.25">
      <c r="B51" s="97" t="s">
        <v>108</v>
      </c>
      <c r="C51" s="252" t="s">
        <v>109</v>
      </c>
      <c r="D51" s="253"/>
      <c r="E51" s="252">
        <v>35</v>
      </c>
      <c r="F51" s="253"/>
      <c r="G51" s="98"/>
      <c r="H51" s="98"/>
    </row>
    <row r="52" spans="2:8">
      <c r="B52" s="97" t="s">
        <v>110</v>
      </c>
      <c r="C52" s="252">
        <v>60</v>
      </c>
      <c r="D52" s="253"/>
      <c r="E52" s="252">
        <v>58</v>
      </c>
      <c r="F52" s="253"/>
      <c r="G52" s="98"/>
      <c r="H52" s="98"/>
    </row>
    <row r="53" spans="2:8">
      <c r="B53" s="97" t="s">
        <v>111</v>
      </c>
      <c r="C53" s="252">
        <v>15</v>
      </c>
      <c r="D53" s="253"/>
      <c r="E53" s="252">
        <v>14.7</v>
      </c>
      <c r="F53" s="253"/>
      <c r="G53" s="98"/>
      <c r="H53" s="98"/>
    </row>
    <row r="54" spans="2:8" ht="25.5">
      <c r="B54" s="97" t="s">
        <v>112</v>
      </c>
      <c r="C54" s="252">
        <v>300</v>
      </c>
      <c r="D54" s="253"/>
      <c r="E54" s="252">
        <v>300</v>
      </c>
      <c r="F54" s="253"/>
      <c r="G54" s="98">
        <f>100+24+1.92</f>
        <v>125.92</v>
      </c>
      <c r="H54" s="98">
        <v>125.92</v>
      </c>
    </row>
    <row r="55" spans="2:8" ht="38.25">
      <c r="B55" s="97" t="s">
        <v>113</v>
      </c>
      <c r="C55" s="252">
        <v>150</v>
      </c>
      <c r="D55" s="253"/>
      <c r="E55" s="252">
        <v>150</v>
      </c>
      <c r="F55" s="253"/>
      <c r="G55" s="98">
        <v>207</v>
      </c>
      <c r="H55" s="98">
        <v>200</v>
      </c>
    </row>
    <row r="56" spans="2:8" ht="25.5">
      <c r="B56" s="97" t="s">
        <v>114</v>
      </c>
      <c r="C56" s="252">
        <v>50</v>
      </c>
      <c r="D56" s="253"/>
      <c r="E56" s="252">
        <v>50</v>
      </c>
      <c r="F56" s="253"/>
      <c r="G56" s="98"/>
      <c r="H56" s="98"/>
    </row>
    <row r="57" spans="2:8">
      <c r="B57" s="97" t="s">
        <v>115</v>
      </c>
      <c r="C57" s="252">
        <v>10</v>
      </c>
      <c r="D57" s="253"/>
      <c r="E57" s="252">
        <v>9.8000000000000007</v>
      </c>
      <c r="F57" s="253"/>
      <c r="G57" s="98"/>
      <c r="H57" s="131"/>
    </row>
    <row r="58" spans="2:8" ht="25.5">
      <c r="B58" s="97" t="s">
        <v>116</v>
      </c>
      <c r="C58" s="252">
        <v>10</v>
      </c>
      <c r="D58" s="253"/>
      <c r="E58" s="252">
        <v>10</v>
      </c>
      <c r="F58" s="253"/>
      <c r="G58" s="103">
        <v>12.5</v>
      </c>
      <c r="H58" s="103">
        <v>12.5</v>
      </c>
    </row>
    <row r="59" spans="2:8">
      <c r="B59" s="97" t="s">
        <v>117</v>
      </c>
      <c r="C59" s="252">
        <v>30</v>
      </c>
      <c r="D59" s="253"/>
      <c r="E59" s="252">
        <v>30</v>
      </c>
      <c r="F59" s="253"/>
      <c r="G59" s="98">
        <f>5+10+5+10+5.25+3.87</f>
        <v>39.119999999999997</v>
      </c>
      <c r="H59" s="98">
        <f>39.12</f>
        <v>39.119999999999997</v>
      </c>
    </row>
    <row r="60" spans="2:8">
      <c r="B60" s="97" t="s">
        <v>118</v>
      </c>
      <c r="C60" s="252">
        <v>15</v>
      </c>
      <c r="D60" s="253"/>
      <c r="E60" s="252">
        <v>15</v>
      </c>
      <c r="F60" s="253"/>
      <c r="G60" s="98">
        <v>5</v>
      </c>
      <c r="H60" s="98">
        <v>5</v>
      </c>
    </row>
    <row r="61" spans="2:8">
      <c r="B61" s="97" t="s">
        <v>119</v>
      </c>
      <c r="C61" s="252" t="s">
        <v>120</v>
      </c>
      <c r="D61" s="253"/>
      <c r="E61" s="252">
        <v>40</v>
      </c>
      <c r="F61" s="253"/>
      <c r="G61" s="98">
        <v>40</v>
      </c>
      <c r="H61" s="98">
        <v>40</v>
      </c>
    </row>
    <row r="62" spans="2:8">
      <c r="B62" s="97" t="s">
        <v>121</v>
      </c>
      <c r="C62" s="252">
        <v>40</v>
      </c>
      <c r="D62" s="253"/>
      <c r="E62" s="256">
        <v>40</v>
      </c>
      <c r="F62" s="257"/>
      <c r="G62" s="98">
        <f>20+6+5+5.6</f>
        <v>36.6</v>
      </c>
      <c r="H62" s="98">
        <v>36.6</v>
      </c>
    </row>
    <row r="63" spans="2:8">
      <c r="B63" s="97" t="s">
        <v>122</v>
      </c>
      <c r="C63" s="256">
        <v>10</v>
      </c>
      <c r="D63" s="257"/>
      <c r="E63" s="252">
        <v>10</v>
      </c>
      <c r="F63" s="253"/>
      <c r="G63" s="98">
        <v>20</v>
      </c>
      <c r="H63" s="98">
        <v>20</v>
      </c>
    </row>
    <row r="64" spans="2:8">
      <c r="B64" s="97" t="s">
        <v>123</v>
      </c>
      <c r="C64" s="252">
        <v>0.4</v>
      </c>
      <c r="D64" s="253"/>
      <c r="E64" s="252">
        <v>0.4</v>
      </c>
      <c r="F64" s="253"/>
      <c r="G64" s="98">
        <v>2</v>
      </c>
      <c r="H64" s="98">
        <v>2</v>
      </c>
    </row>
    <row r="65" spans="2:8">
      <c r="B65" s="97" t="s">
        <v>124</v>
      </c>
      <c r="C65" s="252">
        <v>1.2</v>
      </c>
      <c r="D65" s="253"/>
      <c r="E65" s="252">
        <v>1.2</v>
      </c>
      <c r="F65" s="253"/>
      <c r="G65" s="98"/>
      <c r="H65" s="98"/>
    </row>
    <row r="66" spans="2:8">
      <c r="B66" s="97" t="s">
        <v>125</v>
      </c>
      <c r="C66" s="252">
        <v>1</v>
      </c>
      <c r="D66" s="253"/>
      <c r="E66" s="252">
        <v>1</v>
      </c>
      <c r="F66" s="253"/>
      <c r="G66" s="98"/>
      <c r="H66" s="98"/>
    </row>
    <row r="67" spans="2:8">
      <c r="B67" s="97" t="s">
        <v>126</v>
      </c>
      <c r="C67" s="252">
        <v>5</v>
      </c>
      <c r="D67" s="253"/>
      <c r="E67" s="252">
        <v>5</v>
      </c>
      <c r="F67" s="253"/>
      <c r="G67" s="98">
        <v>3</v>
      </c>
      <c r="H67" s="98">
        <v>3</v>
      </c>
    </row>
    <row r="68" spans="2:8">
      <c r="B68" s="20"/>
      <c r="C68" s="20"/>
      <c r="D68" s="20"/>
      <c r="E68" s="20"/>
      <c r="F68" s="20"/>
      <c r="G68" s="20"/>
      <c r="H68" s="20"/>
    </row>
    <row r="69" spans="2:8">
      <c r="B69" s="20"/>
      <c r="C69" s="20"/>
      <c r="D69" s="20"/>
      <c r="E69" s="20"/>
      <c r="F69" s="20"/>
      <c r="G69" s="20"/>
      <c r="H69" s="20"/>
    </row>
    <row r="70" spans="2:8">
      <c r="B70" s="20"/>
      <c r="C70" s="20"/>
      <c r="D70" s="20"/>
      <c r="E70" s="20"/>
      <c r="F70" s="20"/>
      <c r="G70" s="20"/>
      <c r="H70" s="20"/>
    </row>
    <row r="71" spans="2:8">
      <c r="B71" s="20"/>
      <c r="C71" s="20"/>
      <c r="D71" s="20"/>
      <c r="E71" s="20"/>
      <c r="F71" s="20"/>
      <c r="G71" s="20"/>
      <c r="H71" s="20"/>
    </row>
    <row r="72" spans="2:8">
      <c r="B72" s="20"/>
      <c r="C72" s="20"/>
      <c r="D72" s="20"/>
      <c r="E72" s="20"/>
      <c r="F72" s="20"/>
      <c r="G72" s="20"/>
      <c r="H72" s="20"/>
    </row>
    <row r="73" spans="2:8">
      <c r="B73" s="20"/>
      <c r="C73" s="20"/>
      <c r="D73" s="20"/>
      <c r="E73" s="20"/>
      <c r="F73" s="20"/>
      <c r="G73" s="20"/>
      <c r="H73" s="20"/>
    </row>
    <row r="74" spans="2:8">
      <c r="B74" s="20"/>
      <c r="C74" s="20"/>
      <c r="D74" s="20"/>
      <c r="E74" s="20"/>
      <c r="F74" s="20"/>
      <c r="G74" s="20"/>
      <c r="H74" s="20"/>
    </row>
    <row r="75" spans="2:8">
      <c r="B75" s="20"/>
      <c r="C75" s="20"/>
      <c r="D75" s="20"/>
      <c r="E75" s="20"/>
      <c r="F75" s="20"/>
      <c r="G75" s="20"/>
      <c r="H75" s="20"/>
    </row>
    <row r="76" spans="2:8">
      <c r="B76" s="20"/>
      <c r="C76" s="20"/>
      <c r="D76" s="20"/>
      <c r="E76" s="20"/>
      <c r="F76" s="20"/>
      <c r="G76" s="20"/>
      <c r="H76" s="20"/>
    </row>
    <row r="77" spans="2:8">
      <c r="B77" s="20"/>
      <c r="C77" s="20"/>
      <c r="D77" s="20"/>
      <c r="E77" s="20"/>
      <c r="F77" s="20"/>
      <c r="G77" s="20"/>
      <c r="H77" s="20"/>
    </row>
    <row r="78" spans="2:8">
      <c r="B78" s="20"/>
      <c r="C78" s="20"/>
      <c r="D78" s="20"/>
      <c r="E78" s="20"/>
      <c r="F78" s="20"/>
      <c r="G78" s="20"/>
      <c r="H78" s="20"/>
    </row>
    <row r="79" spans="2:8">
      <c r="B79" s="20"/>
      <c r="C79" s="20"/>
      <c r="D79" s="20"/>
      <c r="E79" s="20"/>
      <c r="F79" s="20"/>
      <c r="G79" s="20"/>
      <c r="H79" s="20"/>
    </row>
    <row r="80" spans="2:8">
      <c r="B80" s="20"/>
      <c r="C80" s="20"/>
      <c r="D80" s="20"/>
      <c r="E80" s="20"/>
      <c r="F80" s="20"/>
      <c r="G80" s="20"/>
      <c r="H80" s="20"/>
    </row>
    <row r="81" spans="2:8">
      <c r="B81" s="20"/>
      <c r="C81" s="20"/>
      <c r="D81" s="20"/>
      <c r="E81" s="20"/>
      <c r="F81" s="20"/>
      <c r="G81" s="20"/>
      <c r="H81" s="20"/>
    </row>
    <row r="82" spans="2:8">
      <c r="B82" s="20"/>
      <c r="C82" s="20"/>
      <c r="D82" s="20"/>
      <c r="E82" s="20"/>
      <c r="F82" s="20"/>
      <c r="G82" s="20"/>
      <c r="H82" s="20"/>
    </row>
    <row r="83" spans="2:8">
      <c r="B83" s="20"/>
      <c r="C83" s="20"/>
      <c r="D83" s="20"/>
      <c r="E83" s="20"/>
      <c r="F83" s="20"/>
      <c r="G83" s="20"/>
      <c r="H83" s="20"/>
    </row>
    <row r="84" spans="2:8">
      <c r="B84" s="20"/>
      <c r="C84" s="20"/>
      <c r="D84" s="20"/>
      <c r="E84" s="20"/>
      <c r="F84" s="20"/>
      <c r="G84" s="20"/>
      <c r="H84" s="20"/>
    </row>
    <row r="85" spans="2:8">
      <c r="B85" s="20"/>
      <c r="C85" s="20"/>
      <c r="D85" s="20"/>
      <c r="E85" s="20"/>
      <c r="F85" s="20"/>
      <c r="G85" s="20"/>
      <c r="H85" s="20"/>
    </row>
    <row r="86" spans="2:8">
      <c r="B86" s="20"/>
      <c r="C86" s="20"/>
      <c r="D86" s="20"/>
      <c r="E86" s="20"/>
      <c r="F86" s="20"/>
      <c r="G86" s="20"/>
      <c r="H86" s="20"/>
    </row>
    <row r="87" spans="2:8">
      <c r="B87" s="20"/>
      <c r="C87" s="20"/>
      <c r="D87" s="20"/>
      <c r="E87" s="20"/>
      <c r="F87" s="20"/>
      <c r="G87" s="20"/>
      <c r="H87" s="20"/>
    </row>
  </sheetData>
  <sheetProtection formatCells="0" formatColumns="0" formatRows="0" insertColumns="0" insertRows="0" insertHyperlinks="0" deleteColumns="0" deleteRows="0" sort="0" autoFilter="0" pivotTables="0"/>
  <mergeCells count="78">
    <mergeCell ref="E48:F48"/>
    <mergeCell ref="E47:F47"/>
    <mergeCell ref="E46:F46"/>
    <mergeCell ref="E45:F45"/>
    <mergeCell ref="E44:F44"/>
    <mergeCell ref="E53:F53"/>
    <mergeCell ref="E52:F52"/>
    <mergeCell ref="E51:F51"/>
    <mergeCell ref="E50:F50"/>
    <mergeCell ref="E49:F49"/>
    <mergeCell ref="E58:F58"/>
    <mergeCell ref="E57:F57"/>
    <mergeCell ref="E56:F56"/>
    <mergeCell ref="E55:F55"/>
    <mergeCell ref="E54:F54"/>
    <mergeCell ref="E63:F63"/>
    <mergeCell ref="E62:F62"/>
    <mergeCell ref="E61:F61"/>
    <mergeCell ref="E60:F60"/>
    <mergeCell ref="E59:F59"/>
    <mergeCell ref="C64:D64"/>
    <mergeCell ref="C65:D65"/>
    <mergeCell ref="C66:D66"/>
    <mergeCell ref="C67:D67"/>
    <mergeCell ref="E67:F67"/>
    <mergeCell ref="E66:F66"/>
    <mergeCell ref="E65:F65"/>
    <mergeCell ref="E64:F64"/>
    <mergeCell ref="C59:D59"/>
    <mergeCell ref="C60:D60"/>
    <mergeCell ref="C61:D61"/>
    <mergeCell ref="C62:D62"/>
    <mergeCell ref="C63:D63"/>
    <mergeCell ref="C54:D54"/>
    <mergeCell ref="C55:D55"/>
    <mergeCell ref="C56:D56"/>
    <mergeCell ref="C58:D58"/>
    <mergeCell ref="C57:D57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40:D40"/>
    <mergeCell ref="C41:D41"/>
    <mergeCell ref="C42:D42"/>
    <mergeCell ref="C43:D43"/>
    <mergeCell ref="E43:F43"/>
    <mergeCell ref="E42:F42"/>
    <mergeCell ref="E40:F40"/>
    <mergeCell ref="E41:F41"/>
    <mergeCell ref="B36:H36"/>
    <mergeCell ref="C37:F37"/>
    <mergeCell ref="B38:B39"/>
    <mergeCell ref="C38:D38"/>
    <mergeCell ref="E38:F38"/>
    <mergeCell ref="G37:H37"/>
    <mergeCell ref="C39:D39"/>
    <mergeCell ref="E39:F39"/>
    <mergeCell ref="C31:F32"/>
    <mergeCell ref="G31:I31"/>
    <mergeCell ref="C33:F33"/>
    <mergeCell ref="C34:F34"/>
    <mergeCell ref="A7:O7"/>
    <mergeCell ref="A10:A12"/>
    <mergeCell ref="D11:O12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7" fitToWidth="2" fitToHeight="2" orientation="landscape" r:id="rId1"/>
  <rowBreaks count="1" manualBreakCount="1">
    <brk id="3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A74"/>
  <sheetViews>
    <sheetView view="pageBreakPreview" topLeftCell="A46" zoomScale="80" zoomScaleNormal="90" zoomScaleSheetLayoutView="80" workbookViewId="0">
      <selection activeCell="G62" sqref="G62"/>
    </sheetView>
  </sheetViews>
  <sheetFormatPr defaultRowHeight="15"/>
  <cols>
    <col min="1" max="1" width="13.140625" customWidth="1"/>
    <col min="2" max="2" width="31.140625" style="14" customWidth="1"/>
    <col min="7" max="7" width="13.140625" customWidth="1"/>
    <col min="8" max="8" width="10.85546875" customWidth="1"/>
    <col min="9" max="9" width="11.140625" customWidth="1"/>
    <col min="11" max="11" width="10.7109375" customWidth="1"/>
    <col min="13" max="13" width="9.5703125" bestFit="1" customWidth="1"/>
    <col min="17" max="27" width="9.140625" style="20"/>
  </cols>
  <sheetData>
    <row r="1" spans="1:27" ht="15.75">
      <c r="A1" s="15" t="s">
        <v>45</v>
      </c>
      <c r="B1" s="14" t="s">
        <v>46</v>
      </c>
    </row>
    <row r="2" spans="1:27" ht="15.75">
      <c r="A2" s="15" t="s">
        <v>47</v>
      </c>
      <c r="B2" s="14" t="s">
        <v>87</v>
      </c>
    </row>
    <row r="3" spans="1:27" ht="15.75">
      <c r="A3" s="15" t="s">
        <v>49</v>
      </c>
      <c r="B3" s="14" t="s">
        <v>50</v>
      </c>
    </row>
    <row r="4" spans="1:27" ht="31.5">
      <c r="A4" s="15" t="s">
        <v>51</v>
      </c>
      <c r="B4" s="14" t="s">
        <v>52</v>
      </c>
    </row>
    <row r="5" spans="1:27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  <c r="Q5"/>
      <c r="R5"/>
      <c r="S5"/>
      <c r="T5"/>
      <c r="U5"/>
      <c r="V5"/>
      <c r="W5"/>
      <c r="X5"/>
      <c r="Y5"/>
      <c r="Z5"/>
      <c r="AA5"/>
    </row>
    <row r="6" spans="1:27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Q6"/>
      <c r="R6"/>
      <c r="S6"/>
      <c r="T6"/>
      <c r="U6"/>
      <c r="V6"/>
      <c r="W6"/>
      <c r="X6"/>
      <c r="Y6"/>
      <c r="Z6"/>
      <c r="AA6"/>
    </row>
    <row r="7" spans="1:27" s="12" customFormat="1" ht="17.25" customHeight="1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</row>
    <row r="8" spans="1:27" s="12" customFormat="1" ht="25.5">
      <c r="A8" s="9">
        <v>215</v>
      </c>
      <c r="B8" s="10" t="s">
        <v>137</v>
      </c>
      <c r="C8" s="9">
        <v>110</v>
      </c>
      <c r="D8" s="11">
        <f>5.67*2</f>
        <v>11.34</v>
      </c>
      <c r="E8" s="11">
        <f>9.89*2</f>
        <v>19.78</v>
      </c>
      <c r="F8" s="11">
        <f>1.47*2</f>
        <v>2.94</v>
      </c>
      <c r="G8" s="11">
        <f>118*2</f>
        <v>236</v>
      </c>
      <c r="H8" s="11">
        <f>0.03*2</f>
        <v>0.06</v>
      </c>
      <c r="I8" s="11">
        <f>0.17*2</f>
        <v>0.34</v>
      </c>
      <c r="J8" s="11">
        <f>127.4*2</f>
        <v>254.8</v>
      </c>
      <c r="K8" s="11">
        <f>0.29*2</f>
        <v>0.57999999999999996</v>
      </c>
      <c r="L8" s="11">
        <f>50.9*2</f>
        <v>101.8</v>
      </c>
      <c r="M8" s="11">
        <f>95.8*2</f>
        <v>191.6</v>
      </c>
      <c r="N8" s="11">
        <f>7.48*2</f>
        <v>14.96</v>
      </c>
      <c r="O8" s="11">
        <f>1.03*2</f>
        <v>2.06</v>
      </c>
    </row>
    <row r="9" spans="1:27" s="84" customFormat="1">
      <c r="A9" s="228">
        <v>2</v>
      </c>
      <c r="B9" s="10" t="s">
        <v>150</v>
      </c>
      <c r="C9" s="119">
        <v>60</v>
      </c>
      <c r="D9" s="137">
        <v>3.7</v>
      </c>
      <c r="E9" s="137">
        <v>8.5</v>
      </c>
      <c r="F9" s="137">
        <v>26.25</v>
      </c>
      <c r="G9" s="183">
        <v>155</v>
      </c>
      <c r="H9" s="137">
        <v>3.4000000000000002E-2</v>
      </c>
      <c r="I9" s="137"/>
      <c r="J9" s="137">
        <v>0.13</v>
      </c>
      <c r="K9" s="137">
        <v>0.44</v>
      </c>
      <c r="L9" s="137">
        <v>8.4</v>
      </c>
      <c r="M9" s="137">
        <v>22.5</v>
      </c>
      <c r="N9" s="137">
        <v>4.2</v>
      </c>
      <c r="O9" s="137">
        <v>0.35</v>
      </c>
      <c r="P9" s="116"/>
      <c r="Q9" s="116"/>
      <c r="R9" s="116"/>
      <c r="S9" s="116"/>
    </row>
    <row r="10" spans="1:27" s="80" customFormat="1">
      <c r="A10" s="229"/>
      <c r="B10" s="56" t="s">
        <v>151</v>
      </c>
      <c r="C10" s="120">
        <v>50</v>
      </c>
      <c r="D10" s="279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1"/>
      <c r="P10" s="104"/>
      <c r="Q10" s="104"/>
      <c r="R10" s="117"/>
      <c r="S10" s="117"/>
    </row>
    <row r="11" spans="1:27" s="83" customFormat="1">
      <c r="A11" s="230"/>
      <c r="B11" s="54" t="s">
        <v>117</v>
      </c>
      <c r="C11" s="120">
        <v>10</v>
      </c>
      <c r="D11" s="282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4"/>
      <c r="P11" s="104"/>
      <c r="Q11" s="104"/>
      <c r="R11" s="118"/>
      <c r="S11" s="118"/>
    </row>
    <row r="12" spans="1:27" s="16" customFormat="1">
      <c r="A12" s="17">
        <v>379</v>
      </c>
      <c r="B12" s="10" t="s">
        <v>132</v>
      </c>
      <c r="C12" s="17">
        <v>200</v>
      </c>
      <c r="D12" s="18">
        <f>15.83/5</f>
        <v>3.1659999999999999</v>
      </c>
      <c r="E12" s="18">
        <f>13.39/5</f>
        <v>2.6779999999999999</v>
      </c>
      <c r="F12" s="18">
        <f>79.73/5</f>
        <v>15.946000000000002</v>
      </c>
      <c r="G12" s="18">
        <f>503/5</f>
        <v>100.6</v>
      </c>
      <c r="H12" s="18">
        <f>0.22/5</f>
        <v>4.3999999999999997E-2</v>
      </c>
      <c r="I12" s="18">
        <f>6.5/5</f>
        <v>1.3</v>
      </c>
      <c r="J12" s="18">
        <f>100/5</f>
        <v>20</v>
      </c>
      <c r="K12" s="18"/>
      <c r="L12" s="18">
        <f>628.9/5</f>
        <v>125.78</v>
      </c>
      <c r="M12" s="18">
        <f>450/5</f>
        <v>90</v>
      </c>
      <c r="N12" s="18">
        <f>70/5</f>
        <v>14</v>
      </c>
      <c r="O12" s="18">
        <f>0.67/5</f>
        <v>0.13400000000000001</v>
      </c>
      <c r="P12" s="122"/>
      <c r="Q12" s="62"/>
    </row>
    <row r="13" spans="1:27" s="32" customFormat="1" ht="16.149999999999999" customHeight="1">
      <c r="A13" s="140" t="s">
        <v>11</v>
      </c>
      <c r="B13" s="141"/>
      <c r="C13" s="141"/>
      <c r="D13" s="159">
        <f>SUM(D8:D12)</f>
        <v>18.206</v>
      </c>
      <c r="E13" s="159">
        <f t="shared" ref="E13:G13" si="0">SUM(E8:E12)</f>
        <v>30.958000000000002</v>
      </c>
      <c r="F13" s="159">
        <f t="shared" si="0"/>
        <v>45.136000000000003</v>
      </c>
      <c r="G13" s="159">
        <f t="shared" si="0"/>
        <v>491.6</v>
      </c>
      <c r="H13" s="159"/>
      <c r="I13" s="159"/>
      <c r="J13" s="159"/>
      <c r="K13" s="159"/>
      <c r="L13" s="159"/>
      <c r="M13" s="159"/>
      <c r="N13" s="159"/>
      <c r="O13" s="159"/>
      <c r="Q13" s="63"/>
      <c r="R13" s="63"/>
      <c r="S13" s="67"/>
      <c r="T13" s="68"/>
      <c r="U13" s="68"/>
      <c r="V13" s="68"/>
      <c r="W13" s="69"/>
      <c r="X13" s="69"/>
      <c r="Y13" s="69"/>
      <c r="Z13" s="69"/>
      <c r="AA13" s="69"/>
    </row>
    <row r="14" spans="1:27" s="32" customFormat="1" ht="23.25" customHeight="1">
      <c r="A14" s="325" t="s">
        <v>23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7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 spans="1:27" s="16" customFormat="1" ht="38.25">
      <c r="A15" s="17">
        <v>67</v>
      </c>
      <c r="B15" s="10" t="s">
        <v>130</v>
      </c>
      <c r="C15" s="17">
        <v>100</v>
      </c>
      <c r="D15" s="18">
        <v>1.4</v>
      </c>
      <c r="E15" s="18">
        <v>10.039999999999999</v>
      </c>
      <c r="F15" s="18">
        <v>7.29</v>
      </c>
      <c r="G15" s="18">
        <f>125.1</f>
        <v>125.1</v>
      </c>
      <c r="H15" s="18">
        <f>0.44/10</f>
        <v>4.3999999999999997E-2</v>
      </c>
      <c r="I15" s="18">
        <v>9.6300000000000008</v>
      </c>
      <c r="J15" s="18"/>
      <c r="K15" s="18">
        <v>4.5</v>
      </c>
      <c r="L15" s="18">
        <v>31.23</v>
      </c>
      <c r="M15" s="18">
        <v>43.27</v>
      </c>
      <c r="N15" s="18">
        <v>19.53</v>
      </c>
      <c r="O15" s="18">
        <v>0.83</v>
      </c>
    </row>
    <row r="16" spans="1:27" s="32" customFormat="1" ht="25.5" customHeight="1">
      <c r="A16" s="17">
        <v>112</v>
      </c>
      <c r="B16" s="10" t="s">
        <v>138</v>
      </c>
      <c r="C16" s="17">
        <v>250</v>
      </c>
      <c r="D16" s="18">
        <f>10.27/4+0.8</f>
        <v>3.3674999999999997</v>
      </c>
      <c r="E16" s="18">
        <f>11.12/4+0.2</f>
        <v>2.98</v>
      </c>
      <c r="F16" s="18">
        <f>62.75/4</f>
        <v>15.6875</v>
      </c>
      <c r="G16" s="18">
        <f>436/4+5+30</f>
        <v>144</v>
      </c>
      <c r="H16" s="18">
        <f>0.37/4</f>
        <v>9.2499999999999999E-2</v>
      </c>
      <c r="I16" s="18">
        <f>24.3/4</f>
        <v>6.0750000000000002</v>
      </c>
      <c r="J16" s="18"/>
      <c r="K16" s="18">
        <f>5.8/4</f>
        <v>1.45</v>
      </c>
      <c r="L16" s="18">
        <f>118/4+2</f>
        <v>31.5</v>
      </c>
      <c r="M16" s="18">
        <f>230.9/4</f>
        <v>57.725000000000001</v>
      </c>
      <c r="N16" s="18">
        <f>95.2/4</f>
        <v>23.8</v>
      </c>
      <c r="O16" s="18">
        <f>4/4</f>
        <v>1</v>
      </c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16" customFormat="1" ht="25.5">
      <c r="A17" s="17">
        <v>227</v>
      </c>
      <c r="B17" s="10" t="s">
        <v>140</v>
      </c>
      <c r="C17" s="17">
        <v>110</v>
      </c>
      <c r="D17" s="18">
        <f>8.56*2</f>
        <v>17.12</v>
      </c>
      <c r="E17" s="18">
        <f>4.11*2</f>
        <v>8.2200000000000006</v>
      </c>
      <c r="F17" s="18">
        <f>0.46*2</f>
        <v>0.92</v>
      </c>
      <c r="G17" s="18">
        <f>73*2</f>
        <v>146</v>
      </c>
      <c r="H17" s="18">
        <f>0.04*2</f>
        <v>0.08</v>
      </c>
      <c r="I17" s="18">
        <f>0.42*2</f>
        <v>0.84</v>
      </c>
      <c r="J17" s="18">
        <f>24.5*2</f>
        <v>49</v>
      </c>
      <c r="K17" s="18">
        <f>0.24*2</f>
        <v>0.48</v>
      </c>
      <c r="L17" s="18">
        <f>7.73*2</f>
        <v>15.46</v>
      </c>
      <c r="M17" s="18">
        <f>97.84*2</f>
        <v>195.68</v>
      </c>
      <c r="N17" s="18">
        <f>22.92*2</f>
        <v>45.84</v>
      </c>
      <c r="O17" s="18">
        <f>0.45*2</f>
        <v>0.9</v>
      </c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</row>
    <row r="18" spans="1:27" s="16" customFormat="1">
      <c r="A18" s="17">
        <v>304</v>
      </c>
      <c r="B18" s="10" t="s">
        <v>16</v>
      </c>
      <c r="C18" s="17">
        <v>150</v>
      </c>
      <c r="D18" s="18">
        <f>24.34/20*3</f>
        <v>3.6510000000000002</v>
      </c>
      <c r="E18" s="18">
        <f>35.83/20*3</f>
        <v>5.3744999999999994</v>
      </c>
      <c r="F18" s="18">
        <f>244.56/20*3</f>
        <v>36.683999999999997</v>
      </c>
      <c r="G18" s="18">
        <f>1398/20*3</f>
        <v>209.70000000000002</v>
      </c>
      <c r="H18" s="18">
        <f>0.17/20*3</f>
        <v>2.5500000000000002E-2</v>
      </c>
      <c r="I18" s="18"/>
      <c r="J18" s="18"/>
      <c r="K18" s="18">
        <f>1.88/20*3</f>
        <v>0.28200000000000003</v>
      </c>
      <c r="L18" s="18">
        <f>9.1/20*3</f>
        <v>1.3649999999999998</v>
      </c>
      <c r="M18" s="18">
        <f>406.3/20*3</f>
        <v>60.945000000000007</v>
      </c>
      <c r="N18" s="18">
        <f>108.9/20*3</f>
        <v>16.335000000000001</v>
      </c>
      <c r="O18" s="18">
        <f>3.51/20*3</f>
        <v>0.52649999999999997</v>
      </c>
    </row>
    <row r="19" spans="1:27" s="16" customFormat="1">
      <c r="A19" s="17">
        <v>342</v>
      </c>
      <c r="B19" s="10" t="s">
        <v>161</v>
      </c>
      <c r="C19" s="17">
        <v>200</v>
      </c>
      <c r="D19" s="18">
        <f>0.8/5</f>
        <v>0.16</v>
      </c>
      <c r="E19" s="18">
        <f>0.8/5</f>
        <v>0.16</v>
      </c>
      <c r="F19" s="18">
        <f>139.4/5</f>
        <v>27.880000000000003</v>
      </c>
      <c r="G19" s="18">
        <f>573/5</f>
        <v>114.6</v>
      </c>
      <c r="H19" s="18">
        <f>0.06</f>
        <v>0.06</v>
      </c>
      <c r="I19" s="18">
        <f>4.5/5</f>
        <v>0.9</v>
      </c>
      <c r="J19" s="18">
        <f>0</f>
        <v>0</v>
      </c>
      <c r="K19" s="18">
        <f>0.4/5</f>
        <v>0.08</v>
      </c>
      <c r="L19" s="18">
        <f>70.9/5</f>
        <v>14.180000000000001</v>
      </c>
      <c r="M19" s="18">
        <f>22/5</f>
        <v>4.4000000000000004</v>
      </c>
      <c r="N19" s="18">
        <f>25.7/5</f>
        <v>5.14</v>
      </c>
      <c r="O19" s="18">
        <f>4.76/5</f>
        <v>0.95199999999999996</v>
      </c>
    </row>
    <row r="20" spans="1:27" s="16" customFormat="1">
      <c r="A20" s="56"/>
      <c r="B20" s="10" t="s">
        <v>14</v>
      </c>
      <c r="C20" s="17">
        <v>40</v>
      </c>
      <c r="D20" s="18">
        <v>2.2400000000000002</v>
      </c>
      <c r="E20" s="18">
        <v>0.88</v>
      </c>
      <c r="F20" s="18">
        <v>19.760000000000002</v>
      </c>
      <c r="G20" s="18">
        <v>91.96</v>
      </c>
      <c r="H20" s="18">
        <v>0.04</v>
      </c>
      <c r="I20" s="18"/>
      <c r="J20" s="18"/>
      <c r="K20" s="18">
        <v>0.36</v>
      </c>
      <c r="L20" s="18">
        <v>9.1999999999999993</v>
      </c>
      <c r="M20" s="18">
        <v>42.4</v>
      </c>
      <c r="N20" s="18">
        <v>10</v>
      </c>
      <c r="O20" s="18">
        <v>1.24</v>
      </c>
    </row>
    <row r="21" spans="1:27" s="16" customFormat="1">
      <c r="A21" s="56"/>
      <c r="B21" s="10" t="s">
        <v>94</v>
      </c>
      <c r="C21" s="139">
        <v>40</v>
      </c>
      <c r="D21" s="18">
        <v>3.16</v>
      </c>
      <c r="E21" s="18">
        <v>0.4</v>
      </c>
      <c r="F21" s="18">
        <v>19.32</v>
      </c>
      <c r="G21" s="18">
        <v>93.52</v>
      </c>
      <c r="H21" s="18">
        <v>0.04</v>
      </c>
      <c r="I21" s="18"/>
      <c r="J21" s="18"/>
      <c r="K21" s="18">
        <v>0.52</v>
      </c>
      <c r="L21" s="18">
        <v>9.1999999999999993</v>
      </c>
      <c r="M21" s="18">
        <v>34.799999999999997</v>
      </c>
      <c r="N21" s="18">
        <v>13.2</v>
      </c>
      <c r="O21" s="18">
        <v>0.44</v>
      </c>
    </row>
    <row r="22" spans="1:27" s="12" customFormat="1" ht="16.149999999999999" customHeight="1">
      <c r="A22" s="140" t="s">
        <v>11</v>
      </c>
      <c r="B22" s="141"/>
      <c r="C22" s="141"/>
      <c r="D22" s="159">
        <f>SUM(D15:D21)</f>
        <v>31.098500000000005</v>
      </c>
      <c r="E22" s="159">
        <f t="shared" ref="E22:G22" si="1">SUM(E15:E21)</f>
        <v>28.054499999999997</v>
      </c>
      <c r="F22" s="159">
        <f t="shared" si="1"/>
        <v>127.54150000000001</v>
      </c>
      <c r="G22" s="159">
        <f t="shared" si="1"/>
        <v>924.88000000000011</v>
      </c>
      <c r="H22" s="159"/>
      <c r="I22" s="159"/>
      <c r="J22" s="159"/>
      <c r="K22" s="159"/>
      <c r="L22" s="159"/>
      <c r="M22" s="159"/>
      <c r="N22" s="159"/>
      <c r="O22" s="159"/>
      <c r="Q22" s="21"/>
      <c r="R22" s="21"/>
      <c r="S22" s="23"/>
      <c r="T22" s="24"/>
      <c r="U22" s="24"/>
      <c r="V22" s="24"/>
      <c r="W22" s="24"/>
      <c r="X22" s="24"/>
      <c r="Y22" s="24"/>
      <c r="Z22" s="24"/>
      <c r="AA22" s="24"/>
    </row>
    <row r="23" spans="1:27" s="12" customFormat="1" ht="23.25" customHeight="1">
      <c r="A23" s="343" t="s">
        <v>22</v>
      </c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2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s="12" customFormat="1" ht="15.75" customHeight="1">
      <c r="A24" s="9">
        <v>429</v>
      </c>
      <c r="B24" s="10" t="s">
        <v>62</v>
      </c>
      <c r="C24" s="9">
        <v>50</v>
      </c>
      <c r="D24" s="11">
        <v>3.9</v>
      </c>
      <c r="E24" s="11">
        <v>3.06</v>
      </c>
      <c r="F24" s="11">
        <v>23.9</v>
      </c>
      <c r="G24" s="11">
        <v>139</v>
      </c>
      <c r="H24" s="11">
        <v>7.0000000000000007E-2</v>
      </c>
      <c r="I24" s="11"/>
      <c r="J24" s="125">
        <v>3</v>
      </c>
      <c r="K24" s="11">
        <v>1.41</v>
      </c>
      <c r="L24" s="11">
        <v>11.3</v>
      </c>
      <c r="M24" s="11">
        <v>39.200000000000003</v>
      </c>
      <c r="N24" s="11">
        <v>15.2</v>
      </c>
      <c r="O24" s="11">
        <v>0.73</v>
      </c>
    </row>
    <row r="25" spans="1:27" s="16" customFormat="1">
      <c r="A25" s="17">
        <v>386</v>
      </c>
      <c r="B25" s="10" t="s">
        <v>73</v>
      </c>
      <c r="C25" s="17">
        <v>200</v>
      </c>
      <c r="D25" s="18">
        <v>5.8</v>
      </c>
      <c r="E25" s="18">
        <v>5</v>
      </c>
      <c r="F25" s="18">
        <v>8.4</v>
      </c>
      <c r="G25" s="18">
        <v>102</v>
      </c>
      <c r="H25" s="18">
        <v>0.03</v>
      </c>
      <c r="I25" s="18">
        <v>1.47</v>
      </c>
      <c r="J25" s="18">
        <v>40</v>
      </c>
      <c r="K25" s="18"/>
      <c r="L25" s="18">
        <v>248</v>
      </c>
      <c r="M25" s="18">
        <v>184</v>
      </c>
      <c r="N25" s="18">
        <v>28</v>
      </c>
      <c r="O25" s="18">
        <v>0.2</v>
      </c>
    </row>
    <row r="26" spans="1:27" s="16" customFormat="1">
      <c r="A26" s="17">
        <v>338</v>
      </c>
      <c r="B26" s="10" t="s">
        <v>67</v>
      </c>
      <c r="C26" s="17">
        <v>100</v>
      </c>
      <c r="D26" s="18">
        <v>0.4</v>
      </c>
      <c r="E26" s="18">
        <v>0.3</v>
      </c>
      <c r="F26" s="18">
        <v>10.3</v>
      </c>
      <c r="G26" s="18">
        <v>47</v>
      </c>
      <c r="H26" s="121">
        <v>0.02</v>
      </c>
      <c r="I26" s="18">
        <v>5</v>
      </c>
      <c r="J26" s="18"/>
      <c r="K26" s="18">
        <v>0.4</v>
      </c>
      <c r="L26" s="18">
        <v>19</v>
      </c>
      <c r="M26" s="18">
        <v>16</v>
      </c>
      <c r="N26" s="18">
        <v>12</v>
      </c>
      <c r="O26" s="18">
        <v>2.2999999999999998</v>
      </c>
    </row>
    <row r="27" spans="1:27" s="32" customFormat="1" ht="16.149999999999999" customHeight="1">
      <c r="A27" s="140" t="s">
        <v>11</v>
      </c>
      <c r="B27" s="141"/>
      <c r="C27" s="141"/>
      <c r="D27" s="159">
        <f>SUM(D24:D26)</f>
        <v>10.1</v>
      </c>
      <c r="E27" s="159">
        <f t="shared" ref="E27:G27" si="2">SUM(E24:E26)</f>
        <v>8.3600000000000012</v>
      </c>
      <c r="F27" s="159">
        <f t="shared" si="2"/>
        <v>42.599999999999994</v>
      </c>
      <c r="G27" s="159">
        <f t="shared" si="2"/>
        <v>288</v>
      </c>
      <c r="H27" s="159"/>
      <c r="I27" s="159"/>
      <c r="J27" s="159"/>
      <c r="K27" s="159"/>
      <c r="L27" s="159"/>
      <c r="M27" s="159"/>
      <c r="N27" s="159"/>
      <c r="O27" s="159"/>
      <c r="Q27" s="63"/>
      <c r="R27" s="63"/>
      <c r="S27" s="67"/>
      <c r="T27" s="129"/>
      <c r="U27" s="129"/>
      <c r="V27" s="129"/>
      <c r="W27" s="129"/>
      <c r="X27" s="129"/>
      <c r="Y27" s="129"/>
      <c r="Z27" s="129"/>
      <c r="AA27" s="129"/>
    </row>
    <row r="28" spans="1:27" s="12" customFormat="1" ht="15.75" customHeight="1">
      <c r="A28" s="165" t="s">
        <v>15</v>
      </c>
      <c r="B28" s="166"/>
      <c r="C28" s="166"/>
      <c r="D28" s="144">
        <f t="shared" ref="D28:F28" si="3">SUM(D8:D12)+SUM(D15:D21)+SUM(D24:D26)</f>
        <v>59.404500000000006</v>
      </c>
      <c r="E28" s="144">
        <f t="shared" si="3"/>
        <v>67.372500000000002</v>
      </c>
      <c r="F28" s="144">
        <f t="shared" si="3"/>
        <v>215.2775</v>
      </c>
      <c r="G28" s="144">
        <f>SUM(G8:G12)+SUM(G15:G21)+SUM(G24:G26)</f>
        <v>1704.48</v>
      </c>
      <c r="H28" s="159"/>
      <c r="I28" s="159"/>
      <c r="J28" s="159"/>
      <c r="K28" s="159"/>
      <c r="L28" s="159"/>
      <c r="M28" s="159"/>
      <c r="N28" s="159"/>
      <c r="O28" s="159"/>
      <c r="Q28" s="21"/>
      <c r="R28" s="21"/>
      <c r="S28" s="25"/>
      <c r="T28" s="26"/>
      <c r="U28" s="26"/>
      <c r="V28" s="26"/>
      <c r="W28" s="26"/>
      <c r="X28" s="26"/>
      <c r="Y28" s="26"/>
      <c r="Z28" s="26"/>
      <c r="AA28" s="26"/>
    </row>
    <row r="29" spans="1:27" ht="15.75" thickBot="1"/>
    <row r="30" spans="1:27" s="21" customFormat="1" ht="26.25" customHeight="1" thickBot="1">
      <c r="A30" s="39"/>
      <c r="B30" s="210" t="s">
        <v>74</v>
      </c>
      <c r="C30" s="211"/>
      <c r="D30" s="211"/>
      <c r="E30" s="211"/>
      <c r="F30" s="214" t="s">
        <v>75</v>
      </c>
      <c r="G30" s="215"/>
      <c r="H30" s="216"/>
      <c r="I30" s="41" t="s">
        <v>76</v>
      </c>
      <c r="J30" s="40"/>
      <c r="K30" s="40"/>
      <c r="L30" s="40"/>
      <c r="M30" s="40"/>
      <c r="N30" s="40"/>
      <c r="O30" s="40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s="21" customFormat="1" ht="13.5" thickBot="1">
      <c r="A31" s="39"/>
      <c r="B31" s="212"/>
      <c r="C31" s="213"/>
      <c r="D31" s="213"/>
      <c r="E31" s="213"/>
      <c r="F31" s="42" t="s">
        <v>1</v>
      </c>
      <c r="G31" s="42" t="s">
        <v>2</v>
      </c>
      <c r="H31" s="42" t="s">
        <v>3</v>
      </c>
      <c r="I31" s="43"/>
      <c r="J31" s="40"/>
      <c r="K31" s="40"/>
      <c r="L31" s="40"/>
      <c r="M31" s="40"/>
      <c r="N31" s="40"/>
      <c r="O31" s="40"/>
      <c r="Q31" s="22"/>
      <c r="R31" s="22"/>
      <c r="S31" s="22"/>
      <c r="T31" s="19"/>
      <c r="U31" s="19"/>
      <c r="V31" s="19"/>
      <c r="W31" s="19"/>
      <c r="X31" s="19"/>
      <c r="Y31" s="19"/>
      <c r="Z31" s="19"/>
      <c r="AA31" s="19"/>
    </row>
    <row r="32" spans="1:27" ht="15.75" thickBot="1">
      <c r="B32" s="217" t="s">
        <v>78</v>
      </c>
      <c r="C32" s="218"/>
      <c r="D32" s="218"/>
      <c r="E32" s="218"/>
      <c r="F32" s="42" t="s">
        <v>79</v>
      </c>
      <c r="G32" s="42" t="s">
        <v>80</v>
      </c>
      <c r="H32" s="42" t="s">
        <v>81</v>
      </c>
      <c r="I32" s="42" t="s">
        <v>82</v>
      </c>
    </row>
    <row r="33" spans="2:11" ht="15.75" thickBot="1">
      <c r="B33" s="217" t="s">
        <v>77</v>
      </c>
      <c r="C33" s="218"/>
      <c r="D33" s="218"/>
      <c r="E33" s="218"/>
      <c r="F33" s="44">
        <f>D28</f>
        <v>59.404500000000006</v>
      </c>
      <c r="G33" s="44">
        <f>E28</f>
        <v>67.372500000000002</v>
      </c>
      <c r="H33" s="44">
        <f>F28</f>
        <v>215.2775</v>
      </c>
      <c r="I33" s="44">
        <f>G28</f>
        <v>1704.48</v>
      </c>
    </row>
    <row r="35" spans="2:11" ht="43.5" customHeight="1">
      <c r="B35" s="249" t="s">
        <v>127</v>
      </c>
      <c r="C35" s="249"/>
      <c r="D35" s="249"/>
      <c r="E35" s="249"/>
      <c r="F35" s="249"/>
      <c r="G35" s="249"/>
      <c r="H35" s="249"/>
    </row>
    <row r="36" spans="2:11" ht="21.75" customHeight="1">
      <c r="B36" s="96" t="s">
        <v>89</v>
      </c>
      <c r="C36" s="244" t="s">
        <v>90</v>
      </c>
      <c r="D36" s="244"/>
      <c r="E36" s="244"/>
      <c r="F36" s="244"/>
      <c r="G36" s="250" t="s">
        <v>146</v>
      </c>
      <c r="H36" s="251"/>
      <c r="J36" s="15" t="s">
        <v>45</v>
      </c>
      <c r="K36" s="171" t="s">
        <v>46</v>
      </c>
    </row>
    <row r="37" spans="2:11" ht="31.5">
      <c r="B37" s="247"/>
      <c r="C37" s="245" t="s">
        <v>91</v>
      </c>
      <c r="D37" s="246"/>
      <c r="E37" s="245" t="s">
        <v>92</v>
      </c>
      <c r="F37" s="246"/>
      <c r="G37" s="96" t="s">
        <v>91</v>
      </c>
      <c r="H37" s="96" t="s">
        <v>92</v>
      </c>
      <c r="J37" s="15" t="s">
        <v>47</v>
      </c>
      <c r="K37" s="14" t="s">
        <v>87</v>
      </c>
    </row>
    <row r="38" spans="2:11" ht="30">
      <c r="B38" s="248"/>
      <c r="C38" s="245" t="s">
        <v>52</v>
      </c>
      <c r="D38" s="246"/>
      <c r="E38" s="245" t="s">
        <v>52</v>
      </c>
      <c r="F38" s="246"/>
      <c r="G38" s="96" t="s">
        <v>52</v>
      </c>
      <c r="H38" s="96" t="s">
        <v>52</v>
      </c>
      <c r="J38" s="15" t="s">
        <v>49</v>
      </c>
      <c r="K38" s="14" t="s">
        <v>50</v>
      </c>
    </row>
    <row r="39" spans="2:11" ht="63">
      <c r="B39" s="97" t="s">
        <v>93</v>
      </c>
      <c r="C39" s="252">
        <v>80</v>
      </c>
      <c r="D39" s="253"/>
      <c r="E39" s="252">
        <v>80</v>
      </c>
      <c r="F39" s="253"/>
      <c r="G39" s="98">
        <v>40</v>
      </c>
      <c r="H39" s="98">
        <v>40</v>
      </c>
      <c r="J39" s="15" t="s">
        <v>51</v>
      </c>
      <c r="K39" s="14" t="s">
        <v>52</v>
      </c>
    </row>
    <row r="40" spans="2:11">
      <c r="B40" s="97" t="s">
        <v>94</v>
      </c>
      <c r="C40" s="252">
        <v>150</v>
      </c>
      <c r="D40" s="253"/>
      <c r="E40" s="252">
        <v>150</v>
      </c>
      <c r="F40" s="253"/>
      <c r="G40" s="98">
        <f>50+40</f>
        <v>90</v>
      </c>
      <c r="H40" s="98">
        <v>90</v>
      </c>
    </row>
    <row r="41" spans="2:11">
      <c r="B41" s="97" t="s">
        <v>95</v>
      </c>
      <c r="C41" s="252">
        <v>15</v>
      </c>
      <c r="D41" s="253"/>
      <c r="E41" s="252">
        <v>15</v>
      </c>
      <c r="F41" s="253"/>
      <c r="G41" s="98">
        <f>35+0.71</f>
        <v>35.71</v>
      </c>
      <c r="H41" s="98">
        <v>35.71</v>
      </c>
    </row>
    <row r="42" spans="2:11">
      <c r="B42" s="99" t="s">
        <v>96</v>
      </c>
      <c r="C42" s="254">
        <v>45</v>
      </c>
      <c r="D42" s="255"/>
      <c r="E42" s="254">
        <v>45</v>
      </c>
      <c r="F42" s="255"/>
      <c r="G42" s="100">
        <f>54</f>
        <v>54</v>
      </c>
      <c r="H42" s="100">
        <f>54</f>
        <v>54</v>
      </c>
    </row>
    <row r="43" spans="2:11">
      <c r="B43" s="97" t="s">
        <v>97</v>
      </c>
      <c r="C43" s="252">
        <v>15</v>
      </c>
      <c r="D43" s="253"/>
      <c r="E43" s="252">
        <v>15</v>
      </c>
      <c r="F43" s="253"/>
      <c r="G43" s="98">
        <v>10</v>
      </c>
      <c r="H43" s="98">
        <v>10</v>
      </c>
    </row>
    <row r="44" spans="2:11">
      <c r="B44" s="97" t="s">
        <v>98</v>
      </c>
      <c r="C44" s="252" t="s">
        <v>99</v>
      </c>
      <c r="D44" s="253"/>
      <c r="E44" s="256">
        <v>188</v>
      </c>
      <c r="F44" s="257"/>
      <c r="G44" s="98">
        <f>53.4+28.9</f>
        <v>82.3</v>
      </c>
      <c r="H44" s="98">
        <v>82.3</v>
      </c>
    </row>
    <row r="45" spans="2:11">
      <c r="B45" s="97" t="s">
        <v>100</v>
      </c>
      <c r="C45" s="252">
        <v>350</v>
      </c>
      <c r="D45" s="253"/>
      <c r="E45" s="252" t="s">
        <v>101</v>
      </c>
      <c r="F45" s="253"/>
      <c r="G45" s="98">
        <f>10+9.6+2+6+6+19.1+12.6+18.8+21.4+18.8</f>
        <v>124.3</v>
      </c>
      <c r="H45" s="131">
        <f>40+21+8+2+8+15+10+5+5+5</f>
        <v>119</v>
      </c>
    </row>
    <row r="46" spans="2:11">
      <c r="B46" s="97" t="s">
        <v>102</v>
      </c>
      <c r="C46" s="252">
        <v>200</v>
      </c>
      <c r="D46" s="253"/>
      <c r="E46" s="252" t="s">
        <v>103</v>
      </c>
      <c r="F46" s="253"/>
      <c r="G46" s="98">
        <f>100+45.4</f>
        <v>145.4</v>
      </c>
      <c r="H46" s="98">
        <v>145.4</v>
      </c>
    </row>
    <row r="47" spans="2:11" ht="25.5">
      <c r="B47" s="97" t="s">
        <v>104</v>
      </c>
      <c r="C47" s="252">
        <v>15</v>
      </c>
      <c r="D47" s="253"/>
      <c r="E47" s="252">
        <v>15</v>
      </c>
      <c r="F47" s="253"/>
      <c r="G47" s="98"/>
      <c r="H47" s="98"/>
    </row>
    <row r="48" spans="2:11" ht="38.25">
      <c r="B48" s="97" t="s">
        <v>105</v>
      </c>
      <c r="C48" s="252">
        <v>200</v>
      </c>
      <c r="D48" s="253"/>
      <c r="E48" s="252">
        <v>200</v>
      </c>
      <c r="F48" s="253"/>
      <c r="G48" s="98"/>
      <c r="H48" s="98"/>
    </row>
    <row r="49" spans="2:8" ht="25.5">
      <c r="B49" s="97" t="s">
        <v>106</v>
      </c>
      <c r="C49" s="252" t="s">
        <v>107</v>
      </c>
      <c r="D49" s="253"/>
      <c r="E49" s="252">
        <v>70</v>
      </c>
      <c r="F49" s="253"/>
      <c r="G49" s="98"/>
      <c r="H49" s="98"/>
    </row>
    <row r="50" spans="2:8" ht="25.5">
      <c r="B50" s="97" t="s">
        <v>108</v>
      </c>
      <c r="C50" s="252" t="s">
        <v>109</v>
      </c>
      <c r="D50" s="253"/>
      <c r="E50" s="252">
        <v>35</v>
      </c>
      <c r="F50" s="253"/>
      <c r="G50" s="98">
        <v>40</v>
      </c>
      <c r="H50" s="98">
        <v>25</v>
      </c>
    </row>
    <row r="51" spans="2:8">
      <c r="B51" s="97" t="s">
        <v>110</v>
      </c>
      <c r="C51" s="252">
        <v>60</v>
      </c>
      <c r="D51" s="253"/>
      <c r="E51" s="252">
        <v>58</v>
      </c>
      <c r="F51" s="253"/>
      <c r="G51" s="98">
        <v>246</v>
      </c>
      <c r="H51" s="98">
        <v>124</v>
      </c>
    </row>
    <row r="52" spans="2:8">
      <c r="B52" s="97" t="s">
        <v>111</v>
      </c>
      <c r="C52" s="252">
        <v>15</v>
      </c>
      <c r="D52" s="253"/>
      <c r="E52" s="252">
        <v>14.7</v>
      </c>
      <c r="F52" s="253"/>
      <c r="G52" s="98"/>
      <c r="H52" s="98"/>
    </row>
    <row r="53" spans="2:8" ht="25.5">
      <c r="B53" s="97" t="s">
        <v>112</v>
      </c>
      <c r="C53" s="252">
        <v>300</v>
      </c>
      <c r="D53" s="253"/>
      <c r="E53" s="252">
        <v>300</v>
      </c>
      <c r="F53" s="253"/>
      <c r="G53" s="98">
        <v>150</v>
      </c>
      <c r="H53" s="98"/>
    </row>
    <row r="54" spans="2:8" ht="25.5">
      <c r="B54" s="97" t="s">
        <v>113</v>
      </c>
      <c r="C54" s="252">
        <v>150</v>
      </c>
      <c r="D54" s="253"/>
      <c r="E54" s="252">
        <v>150</v>
      </c>
      <c r="F54" s="253"/>
      <c r="G54" s="98">
        <v>206</v>
      </c>
      <c r="H54" s="98">
        <v>200</v>
      </c>
    </row>
    <row r="55" spans="2:8" ht="25.5">
      <c r="B55" s="97" t="s">
        <v>114</v>
      </c>
      <c r="C55" s="252">
        <v>50</v>
      </c>
      <c r="D55" s="253"/>
      <c r="E55" s="252">
        <v>50</v>
      </c>
      <c r="F55" s="253"/>
      <c r="G55" s="98"/>
      <c r="H55" s="98"/>
    </row>
    <row r="56" spans="2:8">
      <c r="B56" s="97" t="s">
        <v>115</v>
      </c>
      <c r="C56" s="252">
        <v>10</v>
      </c>
      <c r="D56" s="253"/>
      <c r="E56" s="252">
        <v>9.8000000000000007</v>
      </c>
      <c r="F56" s="253"/>
      <c r="G56" s="98"/>
      <c r="H56" s="131"/>
    </row>
    <row r="57" spans="2:8" ht="25.5">
      <c r="B57" s="97" t="s">
        <v>116</v>
      </c>
      <c r="C57" s="252">
        <v>10</v>
      </c>
      <c r="D57" s="253"/>
      <c r="E57" s="252">
        <v>10</v>
      </c>
      <c r="F57" s="253"/>
      <c r="G57" s="103"/>
      <c r="H57" s="103"/>
    </row>
    <row r="58" spans="2:8">
      <c r="B58" s="97" t="s">
        <v>117</v>
      </c>
      <c r="C58" s="252">
        <v>30</v>
      </c>
      <c r="D58" s="253"/>
      <c r="E58" s="252">
        <v>30</v>
      </c>
      <c r="F58" s="253"/>
      <c r="G58" s="98">
        <f>10+6.75+4+10+10</f>
        <v>40.75</v>
      </c>
      <c r="H58" s="98">
        <v>40.75</v>
      </c>
    </row>
    <row r="59" spans="2:8">
      <c r="B59" s="97" t="s">
        <v>118</v>
      </c>
      <c r="C59" s="252">
        <v>15</v>
      </c>
      <c r="D59" s="253"/>
      <c r="E59" s="252">
        <v>15</v>
      </c>
      <c r="F59" s="253"/>
      <c r="G59" s="98">
        <f>2+0.32+10</f>
        <v>12.32</v>
      </c>
      <c r="H59" s="98">
        <v>12.32</v>
      </c>
    </row>
    <row r="60" spans="2:8">
      <c r="B60" s="97" t="s">
        <v>119</v>
      </c>
      <c r="C60" s="252" t="s">
        <v>120</v>
      </c>
      <c r="D60" s="253"/>
      <c r="E60" s="252">
        <v>40</v>
      </c>
      <c r="F60" s="253"/>
      <c r="G60" s="131">
        <v>80.099999999999994</v>
      </c>
      <c r="H60" s="98">
        <v>80.099999999999994</v>
      </c>
    </row>
    <row r="61" spans="2:8">
      <c r="B61" s="97" t="s">
        <v>121</v>
      </c>
      <c r="C61" s="252">
        <v>40</v>
      </c>
      <c r="D61" s="253"/>
      <c r="E61" s="256">
        <v>40</v>
      </c>
      <c r="F61" s="257"/>
      <c r="G61" s="98">
        <f>20+24+0.35</f>
        <v>44.35</v>
      </c>
      <c r="H61" s="98">
        <v>44.35</v>
      </c>
    </row>
    <row r="62" spans="2:8">
      <c r="B62" s="97" t="s">
        <v>122</v>
      </c>
      <c r="C62" s="256">
        <v>10</v>
      </c>
      <c r="D62" s="257"/>
      <c r="E62" s="252">
        <v>10</v>
      </c>
      <c r="F62" s="253"/>
      <c r="G62" s="98"/>
      <c r="H62" s="98"/>
    </row>
    <row r="63" spans="2:8">
      <c r="B63" s="97" t="s">
        <v>123</v>
      </c>
      <c r="C63" s="252">
        <v>0.4</v>
      </c>
      <c r="D63" s="253"/>
      <c r="E63" s="252">
        <v>0.4</v>
      </c>
      <c r="F63" s="253"/>
      <c r="G63" s="98"/>
      <c r="H63" s="98"/>
    </row>
    <row r="64" spans="2:8">
      <c r="B64" s="97" t="s">
        <v>124</v>
      </c>
      <c r="C64" s="252">
        <v>1.2</v>
      </c>
      <c r="D64" s="253"/>
      <c r="E64" s="252">
        <v>1.2</v>
      </c>
      <c r="F64" s="253"/>
      <c r="G64" s="98"/>
      <c r="H64" s="98"/>
    </row>
    <row r="65" spans="2:8">
      <c r="B65" s="97" t="s">
        <v>125</v>
      </c>
      <c r="C65" s="252">
        <v>1</v>
      </c>
      <c r="D65" s="253"/>
      <c r="E65" s="252">
        <v>1</v>
      </c>
      <c r="F65" s="253"/>
      <c r="G65" s="98">
        <v>0.1</v>
      </c>
      <c r="H65" s="98">
        <v>0.1</v>
      </c>
    </row>
    <row r="66" spans="2:8">
      <c r="B66" s="97" t="s">
        <v>126</v>
      </c>
      <c r="C66" s="252">
        <v>5</v>
      </c>
      <c r="D66" s="253"/>
      <c r="E66" s="252">
        <v>5</v>
      </c>
      <c r="F66" s="253"/>
      <c r="G66" s="98">
        <v>3.03</v>
      </c>
      <c r="H66" s="98">
        <v>3.03</v>
      </c>
    </row>
    <row r="67" spans="2:8">
      <c r="B67" s="126"/>
      <c r="C67" s="20"/>
      <c r="D67" s="20"/>
      <c r="E67" s="20"/>
      <c r="F67" s="20"/>
      <c r="G67" s="20"/>
      <c r="H67" s="20"/>
    </row>
    <row r="68" spans="2:8">
      <c r="B68" s="126"/>
      <c r="C68" s="20"/>
      <c r="D68" s="20"/>
      <c r="E68" s="20"/>
      <c r="F68" s="20"/>
      <c r="G68" s="20"/>
      <c r="H68" s="20"/>
    </row>
    <row r="69" spans="2:8">
      <c r="B69" s="126"/>
      <c r="C69" s="20"/>
      <c r="D69" s="20"/>
      <c r="E69" s="20"/>
      <c r="F69" s="20"/>
      <c r="G69" s="20"/>
      <c r="H69" s="20"/>
    </row>
    <row r="70" spans="2:8">
      <c r="B70" s="126"/>
      <c r="C70" s="20"/>
      <c r="D70" s="20"/>
      <c r="E70" s="20"/>
      <c r="F70" s="20"/>
      <c r="G70" s="20"/>
      <c r="H70" s="20"/>
    </row>
    <row r="71" spans="2:8">
      <c r="B71" s="126"/>
      <c r="C71" s="20"/>
      <c r="D71" s="20"/>
      <c r="E71" s="20"/>
      <c r="F71" s="20"/>
      <c r="G71" s="20"/>
      <c r="H71" s="20"/>
    </row>
    <row r="72" spans="2:8">
      <c r="B72" s="126"/>
      <c r="C72" s="20"/>
      <c r="D72" s="20"/>
      <c r="E72" s="20"/>
      <c r="F72" s="20"/>
      <c r="G72" s="20"/>
      <c r="H72" s="20"/>
    </row>
    <row r="73" spans="2:8">
      <c r="B73" s="126"/>
      <c r="C73" s="20"/>
      <c r="D73" s="20"/>
      <c r="E73" s="20"/>
      <c r="F73" s="20"/>
      <c r="G73" s="20"/>
      <c r="H73" s="20"/>
    </row>
    <row r="74" spans="2:8">
      <c r="B74" s="126"/>
      <c r="C74" s="20"/>
      <c r="D74" s="20"/>
      <c r="E74" s="20"/>
      <c r="F74" s="20"/>
      <c r="G74" s="20"/>
      <c r="H74" s="20"/>
    </row>
  </sheetData>
  <sheetProtection formatCells="0" formatColumns="0" formatRows="0" insertColumns="0" insertRows="0" insertHyperlinks="0" deleteColumns="0" deleteRows="0" sort="0" autoFilter="0" pivotTables="0"/>
  <mergeCells count="80">
    <mergeCell ref="C43:D43"/>
    <mergeCell ref="C42:D42"/>
    <mergeCell ref="C41:D41"/>
    <mergeCell ref="C40:D40"/>
    <mergeCell ref="C39:D39"/>
    <mergeCell ref="C48:D48"/>
    <mergeCell ref="C47:D47"/>
    <mergeCell ref="C46:D46"/>
    <mergeCell ref="C45:D45"/>
    <mergeCell ref="C44:D44"/>
    <mergeCell ref="C53:D53"/>
    <mergeCell ref="C52:D52"/>
    <mergeCell ref="C51:D51"/>
    <mergeCell ref="C50:D50"/>
    <mergeCell ref="C49:D49"/>
    <mergeCell ref="C58:D58"/>
    <mergeCell ref="C57:D57"/>
    <mergeCell ref="C56:D56"/>
    <mergeCell ref="C55:D55"/>
    <mergeCell ref="C54:D54"/>
    <mergeCell ref="C63:D63"/>
    <mergeCell ref="C62:D62"/>
    <mergeCell ref="C61:D61"/>
    <mergeCell ref="C60:D60"/>
    <mergeCell ref="C59:D59"/>
    <mergeCell ref="E64:F64"/>
    <mergeCell ref="E65:F65"/>
    <mergeCell ref="E66:F66"/>
    <mergeCell ref="C66:D66"/>
    <mergeCell ref="C65:D65"/>
    <mergeCell ref="C64:D64"/>
    <mergeCell ref="E59:F59"/>
    <mergeCell ref="E60:F60"/>
    <mergeCell ref="E61:F61"/>
    <mergeCell ref="E62:F62"/>
    <mergeCell ref="E63:F63"/>
    <mergeCell ref="E54:F54"/>
    <mergeCell ref="E55:F55"/>
    <mergeCell ref="E56:F56"/>
    <mergeCell ref="E57:F57"/>
    <mergeCell ref="E58:F58"/>
    <mergeCell ref="E49:F49"/>
    <mergeCell ref="E50:F50"/>
    <mergeCell ref="E51:F51"/>
    <mergeCell ref="E52:F52"/>
    <mergeCell ref="E53:F53"/>
    <mergeCell ref="E44:F44"/>
    <mergeCell ref="E45:F45"/>
    <mergeCell ref="E46:F46"/>
    <mergeCell ref="E47:F47"/>
    <mergeCell ref="E48:F48"/>
    <mergeCell ref="E39:F39"/>
    <mergeCell ref="E40:F40"/>
    <mergeCell ref="E41:F41"/>
    <mergeCell ref="E42:F42"/>
    <mergeCell ref="E43:F43"/>
    <mergeCell ref="B35:H35"/>
    <mergeCell ref="C36:F36"/>
    <mergeCell ref="B37:B38"/>
    <mergeCell ref="C37:D37"/>
    <mergeCell ref="E37:F37"/>
    <mergeCell ref="G36:H36"/>
    <mergeCell ref="E38:F38"/>
    <mergeCell ref="C38:D38"/>
    <mergeCell ref="B30:E31"/>
    <mergeCell ref="F30:H30"/>
    <mergeCell ref="B32:E32"/>
    <mergeCell ref="B33:E33"/>
    <mergeCell ref="A7:O7"/>
    <mergeCell ref="A9:A11"/>
    <mergeCell ref="A14:O14"/>
    <mergeCell ref="A23:O23"/>
    <mergeCell ref="D10:O11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/>
  <dimension ref="A1:O68"/>
  <sheetViews>
    <sheetView view="pageBreakPreview" topLeftCell="A43" zoomScale="70" zoomScaleNormal="90" zoomScaleSheetLayoutView="70" workbookViewId="0">
      <selection activeCell="H63" sqref="H63"/>
    </sheetView>
  </sheetViews>
  <sheetFormatPr defaultRowHeight="15"/>
  <cols>
    <col min="1" max="1" width="16" customWidth="1"/>
    <col min="2" max="2" width="25.28515625" customWidth="1"/>
    <col min="7" max="7" width="12" customWidth="1"/>
    <col min="8" max="8" width="10.5703125" customWidth="1"/>
    <col min="9" max="9" width="11.85546875" customWidth="1"/>
    <col min="10" max="10" width="10.7109375" customWidth="1"/>
    <col min="13" max="13" width="9.5703125" bestFit="1" customWidth="1"/>
  </cols>
  <sheetData>
    <row r="1" spans="1:15" ht="15.75">
      <c r="A1" s="15" t="s">
        <v>45</v>
      </c>
      <c r="B1" s="14" t="s">
        <v>55</v>
      </c>
    </row>
    <row r="2" spans="1:15" ht="15.75">
      <c r="A2" s="15" t="s">
        <v>47</v>
      </c>
      <c r="B2" s="14" t="s">
        <v>87</v>
      </c>
    </row>
    <row r="3" spans="1:15" ht="15.75">
      <c r="A3" s="15" t="s">
        <v>49</v>
      </c>
      <c r="B3" s="14" t="s">
        <v>50</v>
      </c>
    </row>
    <row r="4" spans="1:15" ht="31.5">
      <c r="A4" s="15" t="s">
        <v>51</v>
      </c>
      <c r="B4" s="14" t="s">
        <v>52</v>
      </c>
    </row>
    <row r="5" spans="1:15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5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5" s="12" customFormat="1" ht="15.75" customHeight="1">
      <c r="A7" s="339" t="s">
        <v>42</v>
      </c>
      <c r="B7" s="340"/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</row>
    <row r="8" spans="1:15" s="31" customFormat="1" ht="38.25">
      <c r="A8" s="135">
        <v>173</v>
      </c>
      <c r="B8" s="10" t="s">
        <v>154</v>
      </c>
      <c r="C8" s="135" t="s">
        <v>144</v>
      </c>
      <c r="D8" s="18">
        <v>9.0399999999999991</v>
      </c>
      <c r="E8" s="18">
        <v>13.44</v>
      </c>
      <c r="F8" s="18">
        <v>40.159999999999997</v>
      </c>
      <c r="G8" s="18">
        <v>318</v>
      </c>
      <c r="H8" s="18">
        <v>0.21</v>
      </c>
      <c r="I8" s="18">
        <v>0.96</v>
      </c>
      <c r="J8" s="18">
        <v>54.8</v>
      </c>
      <c r="K8" s="18">
        <v>0.73</v>
      </c>
      <c r="L8" s="18">
        <v>158.65</v>
      </c>
      <c r="M8" s="18">
        <v>264.86</v>
      </c>
      <c r="N8" s="18">
        <v>72.05</v>
      </c>
      <c r="O8" s="18">
        <v>2.09</v>
      </c>
    </row>
    <row r="9" spans="1:15" s="16" customFormat="1" ht="25.5">
      <c r="A9" s="228">
        <v>3</v>
      </c>
      <c r="B9" s="10" t="s">
        <v>88</v>
      </c>
      <c r="C9" s="17">
        <v>50</v>
      </c>
      <c r="D9" s="18">
        <v>5.8</v>
      </c>
      <c r="E9" s="18">
        <v>8.3000000000000007</v>
      </c>
      <c r="F9" s="18">
        <v>14.83</v>
      </c>
      <c r="G9" s="18">
        <v>157</v>
      </c>
      <c r="H9" s="18">
        <v>0.04</v>
      </c>
      <c r="I9" s="18">
        <v>0.11</v>
      </c>
      <c r="J9" s="18">
        <v>59</v>
      </c>
      <c r="K9" s="18">
        <v>0.47</v>
      </c>
      <c r="L9" s="18">
        <v>139.19999999999999</v>
      </c>
      <c r="M9" s="18">
        <v>96</v>
      </c>
      <c r="N9" s="18">
        <v>9.4499999999999993</v>
      </c>
      <c r="O9" s="18">
        <v>0.49</v>
      </c>
    </row>
    <row r="10" spans="1:15" s="16" customFormat="1">
      <c r="A10" s="229"/>
      <c r="B10" s="71" t="s">
        <v>94</v>
      </c>
      <c r="C10" s="72">
        <v>30</v>
      </c>
      <c r="D10" s="231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3"/>
    </row>
    <row r="11" spans="1:15" s="16" customFormat="1">
      <c r="A11" s="229"/>
      <c r="B11" s="71" t="s">
        <v>117</v>
      </c>
      <c r="C11" s="72">
        <v>5</v>
      </c>
      <c r="D11" s="234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6"/>
    </row>
    <row r="12" spans="1:15" s="16" customFormat="1">
      <c r="A12" s="230"/>
      <c r="B12" s="71" t="s">
        <v>145</v>
      </c>
      <c r="C12" s="72">
        <v>15</v>
      </c>
      <c r="D12" s="237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</row>
    <row r="13" spans="1:15" s="16" customFormat="1">
      <c r="A13" s="17">
        <v>382</v>
      </c>
      <c r="B13" s="10" t="s">
        <v>56</v>
      </c>
      <c r="C13" s="17">
        <v>200</v>
      </c>
      <c r="D13" s="18">
        <f>20.39/10*2</f>
        <v>4.0780000000000003</v>
      </c>
      <c r="E13" s="18">
        <f>17.72/10*2</f>
        <v>3.5439999999999996</v>
      </c>
      <c r="F13" s="18">
        <f>87.89/10*2</f>
        <v>17.577999999999999</v>
      </c>
      <c r="G13" s="18">
        <f>593/10*2</f>
        <v>118.6</v>
      </c>
      <c r="H13" s="18">
        <f>0.28/10*2</f>
        <v>5.6000000000000008E-2</v>
      </c>
      <c r="I13" s="18">
        <f>7.94/10*2</f>
        <v>1.5880000000000001</v>
      </c>
      <c r="J13" s="18">
        <f>122/10*2</f>
        <v>24.4</v>
      </c>
      <c r="K13" s="18"/>
      <c r="L13" s="18">
        <f>761.1/10*2</f>
        <v>152.22</v>
      </c>
      <c r="M13" s="18">
        <f>622.8/10*2</f>
        <v>124.55999999999999</v>
      </c>
      <c r="N13" s="18">
        <f>106.7/10*2</f>
        <v>21.34</v>
      </c>
      <c r="O13" s="18">
        <f>2.39/10*2</f>
        <v>0.47800000000000004</v>
      </c>
    </row>
    <row r="14" spans="1:15" s="16" customFormat="1">
      <c r="A14" s="56"/>
      <c r="B14" s="10" t="s">
        <v>94</v>
      </c>
      <c r="C14" s="139">
        <v>40</v>
      </c>
      <c r="D14" s="18">
        <v>3.16</v>
      </c>
      <c r="E14" s="18">
        <v>0.4</v>
      </c>
      <c r="F14" s="18">
        <v>19.32</v>
      </c>
      <c r="G14" s="18">
        <v>93.52</v>
      </c>
      <c r="H14" s="18">
        <v>0.04</v>
      </c>
      <c r="I14" s="18"/>
      <c r="J14" s="18"/>
      <c r="K14" s="18">
        <v>0.52</v>
      </c>
      <c r="L14" s="18">
        <v>9.1999999999999993</v>
      </c>
      <c r="M14" s="18">
        <v>34.799999999999997</v>
      </c>
      <c r="N14" s="18">
        <v>13.2</v>
      </c>
      <c r="O14" s="18">
        <v>0.44</v>
      </c>
    </row>
    <row r="15" spans="1:15" s="32" customFormat="1" ht="16.149999999999999" customHeight="1">
      <c r="A15" s="140" t="s">
        <v>11</v>
      </c>
      <c r="B15" s="141"/>
      <c r="C15" s="141"/>
      <c r="D15" s="159">
        <f>SUM(D8:D14)</f>
        <v>22.077999999999999</v>
      </c>
      <c r="E15" s="159">
        <f t="shared" ref="E15:G15" si="0">SUM(E8:E14)</f>
        <v>25.684000000000001</v>
      </c>
      <c r="F15" s="159">
        <f t="shared" si="0"/>
        <v>91.888000000000005</v>
      </c>
      <c r="G15" s="159">
        <f t="shared" si="0"/>
        <v>687.12</v>
      </c>
      <c r="H15" s="143"/>
      <c r="I15" s="143"/>
      <c r="J15" s="143"/>
      <c r="K15" s="143"/>
      <c r="L15" s="143"/>
      <c r="M15" s="143"/>
      <c r="N15" s="143"/>
      <c r="O15" s="143"/>
    </row>
    <row r="16" spans="1:15" s="32" customFormat="1" ht="26.25" customHeight="1">
      <c r="A16" s="326" t="s">
        <v>23</v>
      </c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7"/>
    </row>
    <row r="17" spans="1:15" s="16" customFormat="1" ht="25.5">
      <c r="A17" s="17">
        <v>61</v>
      </c>
      <c r="B17" s="10" t="s">
        <v>66</v>
      </c>
      <c r="C17" s="17">
        <v>100</v>
      </c>
      <c r="D17" s="18">
        <v>1.5</v>
      </c>
      <c r="E17" s="18">
        <v>5.01</v>
      </c>
      <c r="F17" s="18">
        <v>13.02</v>
      </c>
      <c r="G17" s="18">
        <v>103.7</v>
      </c>
      <c r="H17" s="18">
        <v>0.06</v>
      </c>
      <c r="I17" s="18">
        <v>3.57</v>
      </c>
      <c r="J17" s="18"/>
      <c r="K17" s="18">
        <v>8.25</v>
      </c>
      <c r="L17" s="18">
        <v>37.92</v>
      </c>
      <c r="M17" s="18">
        <v>56.22</v>
      </c>
      <c r="N17" s="18">
        <v>39.1</v>
      </c>
      <c r="O17" s="18">
        <v>1.06</v>
      </c>
    </row>
    <row r="18" spans="1:15" s="16" customFormat="1" ht="38.25">
      <c r="A18" s="17">
        <v>88</v>
      </c>
      <c r="B18" s="10" t="s">
        <v>133</v>
      </c>
      <c r="C18" s="17">
        <v>250</v>
      </c>
      <c r="D18" s="18">
        <f>(7.06/4)+0.8</f>
        <v>2.5649999999999999</v>
      </c>
      <c r="E18" s="18">
        <f>(19.8/4)+0.2</f>
        <v>5.15</v>
      </c>
      <c r="F18" s="18">
        <f>31.61/4</f>
        <v>7.9024999999999999</v>
      </c>
      <c r="G18" s="18">
        <f>(359/4)+5+30</f>
        <v>124.75</v>
      </c>
      <c r="H18" s="18">
        <f>0.23/4</f>
        <v>5.7500000000000002E-2</v>
      </c>
      <c r="I18" s="18">
        <f>63.1/4</f>
        <v>15.775</v>
      </c>
      <c r="J18" s="18"/>
      <c r="K18" s="18">
        <f>9.4/4</f>
        <v>2.35</v>
      </c>
      <c r="L18" s="18">
        <f>(197/4)+2</f>
        <v>51.25</v>
      </c>
      <c r="M18" s="18">
        <f>196/4</f>
        <v>49</v>
      </c>
      <c r="N18" s="18">
        <f>88.5/4</f>
        <v>22.125</v>
      </c>
      <c r="O18" s="18">
        <f>3.3/4</f>
        <v>0.82499999999999996</v>
      </c>
    </row>
    <row r="19" spans="1:15" s="31" customFormat="1" ht="25.5">
      <c r="A19" s="17">
        <v>309</v>
      </c>
      <c r="B19" s="10" t="s">
        <v>12</v>
      </c>
      <c r="C19" s="17">
        <v>150</v>
      </c>
      <c r="D19" s="18">
        <f>36.78/100*15</f>
        <v>5.5170000000000003</v>
      </c>
      <c r="E19" s="18">
        <f>30.1/100*15</f>
        <v>4.5149999999999997</v>
      </c>
      <c r="F19" s="18">
        <f>176.3/100*15</f>
        <v>26.445</v>
      </c>
      <c r="G19" s="18">
        <f>1123/100*15</f>
        <v>168.45000000000002</v>
      </c>
      <c r="H19" s="18">
        <f>0.37/100*15</f>
        <v>5.5500000000000001E-2</v>
      </c>
      <c r="I19" s="18"/>
      <c r="J19" s="18"/>
      <c r="K19" s="18">
        <f>6.46/100*15</f>
        <v>0.96900000000000008</v>
      </c>
      <c r="L19" s="18">
        <f>32.4/100*15</f>
        <v>4.8600000000000003</v>
      </c>
      <c r="M19" s="18">
        <f>247.8/100*15</f>
        <v>37.17</v>
      </c>
      <c r="N19" s="18">
        <f>140.8/100*15</f>
        <v>21.12</v>
      </c>
      <c r="O19" s="18">
        <f>7.37/100*15</f>
        <v>1.1054999999999999</v>
      </c>
    </row>
    <row r="20" spans="1:15" s="16" customFormat="1" ht="38.25">
      <c r="A20" s="17">
        <v>246</v>
      </c>
      <c r="B20" s="10" t="s">
        <v>65</v>
      </c>
      <c r="C20" s="17">
        <v>100</v>
      </c>
      <c r="D20" s="18">
        <v>13.36</v>
      </c>
      <c r="E20" s="18">
        <v>14.08</v>
      </c>
      <c r="F20" s="18">
        <v>0.85</v>
      </c>
      <c r="G20" s="18">
        <v>164</v>
      </c>
      <c r="H20" s="18">
        <v>0.01</v>
      </c>
      <c r="I20" s="18">
        <v>1.2</v>
      </c>
      <c r="J20" s="18"/>
      <c r="K20" s="18"/>
      <c r="L20" s="18">
        <v>23.6</v>
      </c>
      <c r="M20" s="18">
        <v>117.03</v>
      </c>
      <c r="N20" s="18">
        <v>20.27</v>
      </c>
      <c r="O20" s="18">
        <v>2</v>
      </c>
    </row>
    <row r="21" spans="1:15" s="16" customFormat="1" ht="25.5">
      <c r="A21" s="182">
        <v>389</v>
      </c>
      <c r="B21" s="10" t="s">
        <v>163</v>
      </c>
      <c r="C21" s="132">
        <v>200</v>
      </c>
      <c r="D21" s="133">
        <f>1</f>
        <v>1</v>
      </c>
      <c r="E21" s="132">
        <v>0</v>
      </c>
      <c r="F21" s="133">
        <f>101/5</f>
        <v>20.2</v>
      </c>
      <c r="G21" s="132">
        <f>424/5</f>
        <v>84.8</v>
      </c>
      <c r="H21" s="133">
        <f>0.11/5</f>
        <v>2.1999999999999999E-2</v>
      </c>
      <c r="I21" s="132">
        <f>30/5</f>
        <v>6</v>
      </c>
      <c r="J21" s="133">
        <v>0</v>
      </c>
      <c r="K21" s="132">
        <f>1/5</f>
        <v>0.2</v>
      </c>
      <c r="L21" s="133">
        <f>70/5</f>
        <v>14</v>
      </c>
      <c r="M21" s="132">
        <f>70/5</f>
        <v>14</v>
      </c>
      <c r="N21" s="133">
        <f>40/5</f>
        <v>8</v>
      </c>
      <c r="O21" s="134">
        <f>14/5</f>
        <v>2.8</v>
      </c>
    </row>
    <row r="22" spans="1:15" s="16" customFormat="1">
      <c r="A22" s="56"/>
      <c r="B22" s="10" t="s">
        <v>14</v>
      </c>
      <c r="C22" s="17">
        <v>40</v>
      </c>
      <c r="D22" s="18">
        <v>2.2400000000000002</v>
      </c>
      <c r="E22" s="18">
        <v>0.88</v>
      </c>
      <c r="F22" s="18">
        <v>19.760000000000002</v>
      </c>
      <c r="G22" s="18">
        <v>91.96</v>
      </c>
      <c r="H22" s="18">
        <v>0.04</v>
      </c>
      <c r="I22" s="18"/>
      <c r="J22" s="18"/>
      <c r="K22" s="18">
        <v>0.36</v>
      </c>
      <c r="L22" s="18">
        <v>9.1999999999999993</v>
      </c>
      <c r="M22" s="18">
        <v>42.4</v>
      </c>
      <c r="N22" s="18">
        <v>10</v>
      </c>
      <c r="O22" s="18">
        <v>1.24</v>
      </c>
    </row>
    <row r="23" spans="1:15" s="16" customFormat="1">
      <c r="A23" s="56"/>
      <c r="B23" s="10" t="s">
        <v>94</v>
      </c>
      <c r="C23" s="139">
        <v>40</v>
      </c>
      <c r="D23" s="18">
        <v>3.16</v>
      </c>
      <c r="E23" s="18">
        <v>0.4</v>
      </c>
      <c r="F23" s="18">
        <v>19.32</v>
      </c>
      <c r="G23" s="18">
        <v>93.52</v>
      </c>
      <c r="H23" s="18">
        <v>0.04</v>
      </c>
      <c r="I23" s="18"/>
      <c r="J23" s="18"/>
      <c r="K23" s="18">
        <v>0.52</v>
      </c>
      <c r="L23" s="18">
        <v>9.1999999999999993</v>
      </c>
      <c r="M23" s="18">
        <v>34.799999999999997</v>
      </c>
      <c r="N23" s="18">
        <v>13.2</v>
      </c>
      <c r="O23" s="18">
        <v>0.44</v>
      </c>
    </row>
    <row r="24" spans="1:15" s="32" customFormat="1" ht="15.75" customHeight="1">
      <c r="A24" s="140" t="s">
        <v>11</v>
      </c>
      <c r="B24" s="141"/>
      <c r="C24" s="141"/>
      <c r="D24" s="159">
        <f t="shared" ref="D24:F24" si="1">SUM(D17:D23)</f>
        <v>29.342000000000002</v>
      </c>
      <c r="E24" s="159">
        <f t="shared" si="1"/>
        <v>30.035</v>
      </c>
      <c r="F24" s="159">
        <f t="shared" si="1"/>
        <v>107.4975</v>
      </c>
      <c r="G24" s="159">
        <f>SUM(G17:G23)</f>
        <v>831.18</v>
      </c>
      <c r="H24" s="159"/>
      <c r="I24" s="159"/>
      <c r="J24" s="159"/>
      <c r="K24" s="159"/>
      <c r="L24" s="159"/>
      <c r="M24" s="159"/>
      <c r="N24" s="159"/>
      <c r="O24" s="159"/>
    </row>
    <row r="25" spans="1:15" s="12" customFormat="1" ht="24" customHeight="1">
      <c r="A25" s="341" t="s">
        <v>22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2"/>
    </row>
    <row r="26" spans="1:15" s="16" customFormat="1" ht="51">
      <c r="A26" s="17">
        <v>406</v>
      </c>
      <c r="B26" s="10" t="s">
        <v>131</v>
      </c>
      <c r="C26" s="17">
        <v>35</v>
      </c>
      <c r="D26" s="18">
        <v>1.82</v>
      </c>
      <c r="E26" s="18">
        <v>2.04</v>
      </c>
      <c r="F26" s="18">
        <v>16.62</v>
      </c>
      <c r="G26" s="18">
        <v>92</v>
      </c>
      <c r="H26" s="18">
        <v>0.03</v>
      </c>
      <c r="I26" s="18">
        <v>0.18</v>
      </c>
      <c r="J26" s="18">
        <v>15</v>
      </c>
      <c r="K26" s="18">
        <v>0.4</v>
      </c>
      <c r="L26" s="18">
        <v>7.5</v>
      </c>
      <c r="M26" s="18">
        <v>18.399999999999999</v>
      </c>
      <c r="N26" s="18">
        <v>7.4</v>
      </c>
      <c r="O26" s="18">
        <v>0.65</v>
      </c>
    </row>
    <row r="27" spans="1:15" s="31" customFormat="1" ht="18.75" customHeight="1">
      <c r="A27" s="173">
        <v>338</v>
      </c>
      <c r="B27" s="10" t="s">
        <v>17</v>
      </c>
      <c r="C27" s="173">
        <v>100</v>
      </c>
      <c r="D27" s="18">
        <v>0.4</v>
      </c>
      <c r="E27" s="18">
        <v>0.4</v>
      </c>
      <c r="F27" s="18">
        <v>9.8000000000000007</v>
      </c>
      <c r="G27" s="18">
        <v>47</v>
      </c>
      <c r="H27" s="18">
        <v>0.03</v>
      </c>
      <c r="I27" s="18">
        <v>10</v>
      </c>
      <c r="J27" s="18"/>
      <c r="K27" s="18">
        <v>0.2</v>
      </c>
      <c r="L27" s="18">
        <v>16</v>
      </c>
      <c r="M27" s="18">
        <v>11</v>
      </c>
      <c r="N27" s="18">
        <v>9</v>
      </c>
      <c r="O27" s="18">
        <v>2.2000000000000002</v>
      </c>
    </row>
    <row r="28" spans="1:15" s="31" customFormat="1" ht="12.75">
      <c r="A28" s="17">
        <v>385</v>
      </c>
      <c r="B28" s="10" t="s">
        <v>54</v>
      </c>
      <c r="C28" s="17">
        <v>200</v>
      </c>
      <c r="D28" s="18">
        <v>5.8</v>
      </c>
      <c r="E28" s="18">
        <v>5</v>
      </c>
      <c r="F28" s="18">
        <v>9.6</v>
      </c>
      <c r="G28" s="18">
        <v>107</v>
      </c>
      <c r="H28" s="18">
        <v>0.08</v>
      </c>
      <c r="I28" s="18">
        <v>2.6</v>
      </c>
      <c r="J28" s="18">
        <v>40</v>
      </c>
      <c r="K28" s="18">
        <v>20</v>
      </c>
      <c r="L28" s="18">
        <v>240</v>
      </c>
      <c r="M28" s="18">
        <v>180</v>
      </c>
      <c r="N28" s="18">
        <v>28</v>
      </c>
      <c r="O28" s="18">
        <v>0.2</v>
      </c>
    </row>
    <row r="29" spans="1:15" s="32" customFormat="1" ht="16.149999999999999" customHeight="1">
      <c r="A29" s="140" t="s">
        <v>11</v>
      </c>
      <c r="B29" s="141"/>
      <c r="C29" s="141"/>
      <c r="D29" s="159">
        <f t="shared" ref="D29:F29" si="2">SUM(D26:D28)</f>
        <v>8.02</v>
      </c>
      <c r="E29" s="159">
        <f t="shared" si="2"/>
        <v>7.4399999999999995</v>
      </c>
      <c r="F29" s="159">
        <f t="shared" si="2"/>
        <v>36.020000000000003</v>
      </c>
      <c r="G29" s="159">
        <f>SUM(G26:G28)</f>
        <v>246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>
      <c r="A30" s="167" t="s">
        <v>15</v>
      </c>
      <c r="B30" s="168"/>
      <c r="C30" s="169"/>
      <c r="D30" s="163">
        <f t="shared" ref="D30:F30" si="3">SUM(D8:D14)+SUM(D17:D23)+SUM(D26:D28)</f>
        <v>59.44</v>
      </c>
      <c r="E30" s="163">
        <f t="shared" si="3"/>
        <v>63.158999999999999</v>
      </c>
      <c r="F30" s="163">
        <f t="shared" si="3"/>
        <v>235.40550000000002</v>
      </c>
      <c r="G30" s="163">
        <f>SUM(G8:G14)+SUM(G17:G23)+SUM(G26:G28)</f>
        <v>1764.3</v>
      </c>
      <c r="H30" s="159"/>
      <c r="I30" s="159"/>
      <c r="J30" s="159"/>
      <c r="K30" s="159"/>
      <c r="L30" s="159"/>
      <c r="M30" s="159"/>
      <c r="N30" s="159"/>
      <c r="O30" s="159"/>
    </row>
    <row r="31" spans="1:15" ht="15.75" thickBot="1"/>
    <row r="32" spans="1:15" ht="26.25" thickBot="1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2:11" ht="15.75" thickBot="1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2:11" ht="15.75" thickBot="1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1" ht="15.75" thickBot="1">
      <c r="B35" s="217" t="s">
        <v>77</v>
      </c>
      <c r="C35" s="218"/>
      <c r="D35" s="218"/>
      <c r="E35" s="218"/>
      <c r="F35" s="44">
        <f>D30</f>
        <v>59.44</v>
      </c>
      <c r="G35" s="44">
        <f>E30</f>
        <v>63.158999999999999</v>
      </c>
      <c r="H35" s="44">
        <f>F30</f>
        <v>235.40550000000002</v>
      </c>
      <c r="I35" s="44">
        <f>G30</f>
        <v>1764.3</v>
      </c>
    </row>
    <row r="37" spans="2:11" ht="32.25" customHeight="1">
      <c r="B37" s="249" t="s">
        <v>127</v>
      </c>
      <c r="C37" s="249"/>
      <c r="D37" s="249"/>
      <c r="E37" s="249"/>
      <c r="F37" s="249"/>
      <c r="G37" s="249"/>
      <c r="H37" s="249"/>
    </row>
    <row r="38" spans="2:11" ht="20.25" customHeight="1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J38" s="15" t="s">
        <v>45</v>
      </c>
      <c r="K38" s="14" t="s">
        <v>55</v>
      </c>
    </row>
    <row r="39" spans="2:11" ht="25.5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J39" s="15" t="s">
        <v>47</v>
      </c>
      <c r="K39" s="14" t="s">
        <v>87</v>
      </c>
    </row>
    <row r="40" spans="2:11" ht="30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J40" s="15" t="s">
        <v>49</v>
      </c>
      <c r="K40" s="14" t="s">
        <v>50</v>
      </c>
    </row>
    <row r="41" spans="2:11" ht="63"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  <c r="J41" s="15" t="s">
        <v>51</v>
      </c>
      <c r="K41" s="14" t="s">
        <v>52</v>
      </c>
    </row>
    <row r="42" spans="2:11">
      <c r="B42" s="97" t="s">
        <v>94</v>
      </c>
      <c r="C42" s="252">
        <v>150</v>
      </c>
      <c r="D42" s="253"/>
      <c r="E42" s="252">
        <v>150</v>
      </c>
      <c r="F42" s="253"/>
      <c r="G42" s="98">
        <v>70</v>
      </c>
      <c r="H42" s="98">
        <v>70</v>
      </c>
    </row>
    <row r="43" spans="2:11">
      <c r="B43" s="97" t="s">
        <v>95</v>
      </c>
      <c r="C43" s="252">
        <v>15</v>
      </c>
      <c r="D43" s="253"/>
      <c r="E43" s="252">
        <v>15</v>
      </c>
      <c r="F43" s="253"/>
      <c r="G43" s="98">
        <f>2+0.6+17.9</f>
        <v>20.5</v>
      </c>
      <c r="H43" s="98">
        <v>20.5</v>
      </c>
    </row>
    <row r="44" spans="2:11">
      <c r="B44" s="99" t="s">
        <v>96</v>
      </c>
      <c r="C44" s="254">
        <v>45</v>
      </c>
      <c r="D44" s="255"/>
      <c r="E44" s="254">
        <v>45</v>
      </c>
      <c r="F44" s="255"/>
      <c r="G44" s="100">
        <v>44</v>
      </c>
      <c r="H44" s="100">
        <v>44</v>
      </c>
    </row>
    <row r="45" spans="2:11">
      <c r="B45" s="97" t="s">
        <v>97</v>
      </c>
      <c r="C45" s="252">
        <v>15</v>
      </c>
      <c r="D45" s="253"/>
      <c r="E45" s="252">
        <v>15</v>
      </c>
      <c r="F45" s="253"/>
      <c r="G45" s="98">
        <v>52.5</v>
      </c>
      <c r="H45" s="98">
        <v>52.5</v>
      </c>
    </row>
    <row r="46" spans="2:11">
      <c r="B46" s="97" t="s">
        <v>98</v>
      </c>
      <c r="C46" s="252" t="s">
        <v>99</v>
      </c>
      <c r="D46" s="253"/>
      <c r="E46" s="256">
        <v>188</v>
      </c>
      <c r="F46" s="257"/>
      <c r="G46" s="98">
        <v>40</v>
      </c>
      <c r="H46" s="98">
        <v>30</v>
      </c>
    </row>
    <row r="47" spans="2:11">
      <c r="B47" s="97" t="s">
        <v>100</v>
      </c>
      <c r="C47" s="252">
        <v>350</v>
      </c>
      <c r="D47" s="253"/>
      <c r="E47" s="252" t="s">
        <v>101</v>
      </c>
      <c r="F47" s="253"/>
      <c r="G47" s="98">
        <f>63+12.5+3.25+12+2.5+3+2.5+12.5+12+12+92.6</f>
        <v>227.85</v>
      </c>
      <c r="H47" s="131">
        <f>50+10+2.5+10+2.5+10+2.5+2+2+30</f>
        <v>121.5</v>
      </c>
    </row>
    <row r="48" spans="2:11">
      <c r="B48" s="97" t="s">
        <v>102</v>
      </c>
      <c r="C48" s="252">
        <v>200</v>
      </c>
      <c r="D48" s="253"/>
      <c r="E48" s="252" t="s">
        <v>103</v>
      </c>
      <c r="F48" s="253"/>
      <c r="G48" s="98">
        <f>20.7+100+14.3</f>
        <v>135</v>
      </c>
      <c r="H48" s="98">
        <f>100+10+18.2</f>
        <v>128.19999999999999</v>
      </c>
    </row>
    <row r="49" spans="2:8" ht="25.5">
      <c r="B49" s="97" t="s">
        <v>104</v>
      </c>
      <c r="C49" s="252">
        <v>15</v>
      </c>
      <c r="D49" s="253"/>
      <c r="E49" s="252">
        <v>15</v>
      </c>
      <c r="F49" s="253"/>
      <c r="G49" s="98">
        <f>5.6</f>
        <v>5.6</v>
      </c>
      <c r="H49" s="131">
        <v>10</v>
      </c>
    </row>
    <row r="50" spans="2:8" ht="38.25">
      <c r="B50" s="97" t="s">
        <v>105</v>
      </c>
      <c r="C50" s="252">
        <v>200</v>
      </c>
      <c r="D50" s="253"/>
      <c r="E50" s="252">
        <v>200</v>
      </c>
      <c r="F50" s="253"/>
      <c r="G50" s="98">
        <v>200</v>
      </c>
      <c r="H50" s="98">
        <v>200</v>
      </c>
    </row>
    <row r="51" spans="2:8" ht="25.5">
      <c r="B51" s="97" t="s">
        <v>106</v>
      </c>
      <c r="C51" s="252" t="s">
        <v>107</v>
      </c>
      <c r="D51" s="253"/>
      <c r="E51" s="252">
        <v>70</v>
      </c>
      <c r="F51" s="253"/>
      <c r="G51" s="131">
        <f>110+40</f>
        <v>150</v>
      </c>
      <c r="H51" s="98">
        <f>81+25</f>
        <v>106</v>
      </c>
    </row>
    <row r="52" spans="2:8" ht="25.5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>
      <c r="B55" s="97" t="s">
        <v>112</v>
      </c>
      <c r="C55" s="252">
        <v>300</v>
      </c>
      <c r="D55" s="253"/>
      <c r="E55" s="252">
        <v>300</v>
      </c>
      <c r="F55" s="253"/>
      <c r="G55" s="98">
        <f>211+200</f>
        <v>411</v>
      </c>
      <c r="H55" s="98">
        <f>400</f>
        <v>400</v>
      </c>
    </row>
    <row r="56" spans="2:8" ht="38.25">
      <c r="B56" s="97" t="s">
        <v>113</v>
      </c>
      <c r="C56" s="252">
        <v>150</v>
      </c>
      <c r="D56" s="253"/>
      <c r="E56" s="252">
        <v>150</v>
      </c>
      <c r="F56" s="253"/>
      <c r="G56" s="98"/>
      <c r="H56" s="98"/>
    </row>
    <row r="57" spans="2:8" ht="25.5">
      <c r="B57" s="97" t="s">
        <v>114</v>
      </c>
      <c r="C57" s="252">
        <v>50</v>
      </c>
      <c r="D57" s="253"/>
      <c r="E57" s="252">
        <v>50</v>
      </c>
      <c r="F57" s="253"/>
      <c r="G57" s="98"/>
      <c r="H57" s="98"/>
    </row>
    <row r="58" spans="2:8">
      <c r="B58" s="97" t="s">
        <v>115</v>
      </c>
      <c r="C58" s="252">
        <v>10</v>
      </c>
      <c r="D58" s="253"/>
      <c r="E58" s="252">
        <v>9.8000000000000007</v>
      </c>
      <c r="F58" s="253"/>
      <c r="G58" s="98">
        <v>16</v>
      </c>
      <c r="H58" s="131">
        <v>15</v>
      </c>
    </row>
    <row r="59" spans="2:8" ht="25.5">
      <c r="B59" s="97" t="s">
        <v>116</v>
      </c>
      <c r="C59" s="252">
        <v>10</v>
      </c>
      <c r="D59" s="253"/>
      <c r="E59" s="252">
        <v>10</v>
      </c>
      <c r="F59" s="253"/>
      <c r="G59" s="103"/>
      <c r="H59" s="103"/>
    </row>
    <row r="60" spans="2:8">
      <c r="B60" s="97" t="s">
        <v>117</v>
      </c>
      <c r="C60" s="252">
        <v>30</v>
      </c>
      <c r="D60" s="253"/>
      <c r="E60" s="252">
        <v>30</v>
      </c>
      <c r="F60" s="253"/>
      <c r="G60" s="98">
        <f>5+10+4.5+0.8</f>
        <v>20.3</v>
      </c>
      <c r="H60" s="98">
        <v>20.3</v>
      </c>
    </row>
    <row r="61" spans="2:8">
      <c r="B61" s="97" t="s">
        <v>118</v>
      </c>
      <c r="C61" s="252">
        <v>15</v>
      </c>
      <c r="D61" s="253"/>
      <c r="E61" s="252">
        <v>15</v>
      </c>
      <c r="F61" s="253"/>
      <c r="G61" s="131">
        <v>15.7</v>
      </c>
      <c r="H61" s="98">
        <v>15.7</v>
      </c>
    </row>
    <row r="62" spans="2:8">
      <c r="B62" s="97" t="s">
        <v>119</v>
      </c>
      <c r="C62" s="252" t="s">
        <v>120</v>
      </c>
      <c r="D62" s="253"/>
      <c r="E62" s="252">
        <v>40</v>
      </c>
      <c r="F62" s="253"/>
      <c r="G62" s="98">
        <f>0.7+0.9</f>
        <v>1.6</v>
      </c>
      <c r="H62" s="98">
        <v>1.6</v>
      </c>
    </row>
    <row r="63" spans="2:8">
      <c r="B63" s="97" t="s">
        <v>121</v>
      </c>
      <c r="C63" s="252">
        <v>40</v>
      </c>
      <c r="D63" s="253"/>
      <c r="E63" s="256">
        <v>40</v>
      </c>
      <c r="F63" s="257"/>
      <c r="G63" s="98">
        <f>1+6+2+5.4+20+0.9</f>
        <v>35.299999999999997</v>
      </c>
      <c r="H63" s="98">
        <v>35.299999999999997</v>
      </c>
    </row>
    <row r="64" spans="2:8"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2:8">
      <c r="B65" s="97" t="s">
        <v>123</v>
      </c>
      <c r="C65" s="252">
        <v>0.4</v>
      </c>
      <c r="D65" s="253"/>
      <c r="E65" s="252">
        <v>0.4</v>
      </c>
      <c r="F65" s="253"/>
      <c r="G65" s="98"/>
      <c r="H65" s="98"/>
    </row>
    <row r="66" spans="2:8"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2:8">
      <c r="B67" s="97" t="s">
        <v>125</v>
      </c>
      <c r="C67" s="252">
        <v>1</v>
      </c>
      <c r="D67" s="253"/>
      <c r="E67" s="252">
        <v>1</v>
      </c>
      <c r="F67" s="253"/>
      <c r="G67" s="98">
        <v>0.5</v>
      </c>
      <c r="H67" s="98">
        <v>0.5</v>
      </c>
    </row>
    <row r="68" spans="2:8">
      <c r="B68" s="97" t="s">
        <v>126</v>
      </c>
      <c r="C68" s="252">
        <v>5</v>
      </c>
      <c r="D68" s="253"/>
      <c r="E68" s="252">
        <v>5</v>
      </c>
      <c r="F68" s="253"/>
      <c r="G68" s="98">
        <v>3.2</v>
      </c>
      <c r="H68" s="98">
        <v>3.2</v>
      </c>
    </row>
  </sheetData>
  <sheetProtection formatCells="0" formatColumns="0" formatRows="0" insertColumns="0" insertRows="0" insertHyperlinks="0" deleteColumns="0" deleteRows="0" sort="0" autoFilter="0" pivotTables="0"/>
  <mergeCells count="80">
    <mergeCell ref="E45:F45"/>
    <mergeCell ref="E44:F44"/>
    <mergeCell ref="E43:F43"/>
    <mergeCell ref="E42:F42"/>
    <mergeCell ref="E41:F41"/>
    <mergeCell ref="E50:F50"/>
    <mergeCell ref="E49:F49"/>
    <mergeCell ref="E48:F48"/>
    <mergeCell ref="E47:F47"/>
    <mergeCell ref="E46:F46"/>
    <mergeCell ref="E55:F55"/>
    <mergeCell ref="E54:F54"/>
    <mergeCell ref="E53:F53"/>
    <mergeCell ref="E52:F52"/>
    <mergeCell ref="E51:F51"/>
    <mergeCell ref="E60:F60"/>
    <mergeCell ref="E59:F59"/>
    <mergeCell ref="E58:F58"/>
    <mergeCell ref="E57:F57"/>
    <mergeCell ref="E56:F56"/>
    <mergeCell ref="E65:F65"/>
    <mergeCell ref="E64:F64"/>
    <mergeCell ref="E63:F63"/>
    <mergeCell ref="E62:F62"/>
    <mergeCell ref="E61:F61"/>
    <mergeCell ref="C66:D66"/>
    <mergeCell ref="C67:D67"/>
    <mergeCell ref="C68:D68"/>
    <mergeCell ref="E68:F68"/>
    <mergeCell ref="E67:F67"/>
    <mergeCell ref="E66:F66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B37:H37"/>
    <mergeCell ref="C38:F38"/>
    <mergeCell ref="B39:B40"/>
    <mergeCell ref="C39:D39"/>
    <mergeCell ref="E39:F39"/>
    <mergeCell ref="G38:H38"/>
    <mergeCell ref="C40:D40"/>
    <mergeCell ref="E40:F40"/>
    <mergeCell ref="B32:E33"/>
    <mergeCell ref="F32:H32"/>
    <mergeCell ref="B34:E34"/>
    <mergeCell ref="B35:E35"/>
    <mergeCell ref="A7:O7"/>
    <mergeCell ref="A9:A12"/>
    <mergeCell ref="D10:O12"/>
    <mergeCell ref="A16:O16"/>
    <mergeCell ref="A25:O25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68" fitToWidth="2" fitToHeight="2" orientation="landscape" r:id="rId1"/>
  <rowBreaks count="1" manualBreakCount="1">
    <brk id="3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S68"/>
  <sheetViews>
    <sheetView view="pageBreakPreview" topLeftCell="A52" zoomScale="80" zoomScaleSheetLayoutView="80" workbookViewId="0">
      <selection activeCell="H63" sqref="H63"/>
    </sheetView>
  </sheetViews>
  <sheetFormatPr defaultRowHeight="15"/>
  <cols>
    <col min="1" max="1" width="12.7109375" customWidth="1"/>
    <col min="2" max="2" width="27.28515625" bestFit="1" customWidth="1"/>
    <col min="6" max="6" width="10.7109375" bestFit="1" customWidth="1"/>
    <col min="7" max="7" width="9.5703125" bestFit="1" customWidth="1"/>
    <col min="9" max="9" width="9.5703125" bestFit="1" customWidth="1"/>
    <col min="10" max="10" width="10.42578125" customWidth="1"/>
  </cols>
  <sheetData>
    <row r="1" spans="1:19" ht="15.75">
      <c r="A1" s="15" t="s">
        <v>45</v>
      </c>
      <c r="B1" s="14" t="s">
        <v>57</v>
      </c>
    </row>
    <row r="2" spans="1:19" ht="15.75">
      <c r="A2" s="15" t="s">
        <v>47</v>
      </c>
      <c r="B2" s="14" t="s">
        <v>87</v>
      </c>
    </row>
    <row r="3" spans="1:19" ht="15.75">
      <c r="A3" s="15" t="s">
        <v>49</v>
      </c>
      <c r="B3" s="14" t="s">
        <v>50</v>
      </c>
    </row>
    <row r="4" spans="1:19" ht="31.5">
      <c r="A4" s="15" t="s">
        <v>51</v>
      </c>
      <c r="B4" s="14" t="s">
        <v>52</v>
      </c>
    </row>
    <row r="5" spans="1:19" ht="15.75">
      <c r="A5" s="335" t="s">
        <v>32</v>
      </c>
      <c r="B5" s="335" t="s">
        <v>21</v>
      </c>
      <c r="C5" s="335" t="s">
        <v>24</v>
      </c>
      <c r="D5" s="332" t="s">
        <v>35</v>
      </c>
      <c r="E5" s="333"/>
      <c r="F5" s="334"/>
      <c r="G5" s="335" t="s">
        <v>0</v>
      </c>
      <c r="H5" s="332" t="s">
        <v>34</v>
      </c>
      <c r="I5" s="333"/>
      <c r="J5" s="333"/>
      <c r="K5" s="334"/>
      <c r="L5" s="332" t="s">
        <v>33</v>
      </c>
      <c r="M5" s="333"/>
      <c r="N5" s="333"/>
      <c r="O5" s="334"/>
    </row>
    <row r="6" spans="1:19" ht="15.75">
      <c r="A6" s="336"/>
      <c r="B6" s="337"/>
      <c r="C6" s="338"/>
      <c r="D6" s="8" t="s">
        <v>1</v>
      </c>
      <c r="E6" s="8" t="s">
        <v>2</v>
      </c>
      <c r="F6" s="8" t="s">
        <v>3</v>
      </c>
      <c r="G6" s="336"/>
      <c r="H6" s="8" t="s">
        <v>20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</row>
    <row r="7" spans="1:19" s="12" customFormat="1" ht="16.149999999999999" customHeight="1">
      <c r="A7" s="343" t="s">
        <v>42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2"/>
    </row>
    <row r="8" spans="1:19" s="16" customFormat="1" ht="24">
      <c r="A8" s="135">
        <v>182</v>
      </c>
      <c r="B8" s="55" t="s">
        <v>148</v>
      </c>
      <c r="C8" s="135" t="s">
        <v>144</v>
      </c>
      <c r="D8" s="18">
        <v>7.51</v>
      </c>
      <c r="E8" s="18">
        <v>11.72</v>
      </c>
      <c r="F8" s="18">
        <v>37.049999999999997</v>
      </c>
      <c r="G8" s="18">
        <v>285</v>
      </c>
      <c r="H8" s="18">
        <v>0.19</v>
      </c>
      <c r="I8" s="18">
        <v>1.17</v>
      </c>
      <c r="J8" s="18">
        <v>58</v>
      </c>
      <c r="K8" s="18">
        <v>0.21</v>
      </c>
      <c r="L8" s="18">
        <v>138.1</v>
      </c>
      <c r="M8" s="18">
        <v>184.37</v>
      </c>
      <c r="N8" s="18">
        <v>47.6</v>
      </c>
      <c r="O8" s="18">
        <v>1.23</v>
      </c>
    </row>
    <row r="9" spans="1:19" s="16" customFormat="1" ht="25.5">
      <c r="A9" s="17">
        <v>209</v>
      </c>
      <c r="B9" s="10" t="s">
        <v>85</v>
      </c>
      <c r="C9" s="17">
        <v>40</v>
      </c>
      <c r="D9" s="18">
        <v>5.08</v>
      </c>
      <c r="E9" s="18">
        <v>4.5999999999999996</v>
      </c>
      <c r="F9" s="18">
        <v>0.28000000000000003</v>
      </c>
      <c r="G9" s="18">
        <v>63</v>
      </c>
      <c r="H9" s="18">
        <v>0.03</v>
      </c>
      <c r="I9" s="18"/>
      <c r="J9" s="18">
        <v>100</v>
      </c>
      <c r="K9" s="18">
        <v>0.24</v>
      </c>
      <c r="L9" s="18">
        <v>22</v>
      </c>
      <c r="M9" s="18">
        <v>76.8</v>
      </c>
      <c r="N9" s="18">
        <v>4.8</v>
      </c>
      <c r="O9" s="18">
        <v>1</v>
      </c>
    </row>
    <row r="10" spans="1:19" s="84" customFormat="1">
      <c r="A10" s="228">
        <v>2</v>
      </c>
      <c r="B10" s="10" t="s">
        <v>150</v>
      </c>
      <c r="C10" s="119">
        <v>60</v>
      </c>
      <c r="D10" s="137">
        <v>3.7</v>
      </c>
      <c r="E10" s="137">
        <v>8.5</v>
      </c>
      <c r="F10" s="137">
        <v>26.25</v>
      </c>
      <c r="G10" s="137">
        <v>155</v>
      </c>
      <c r="H10" s="137">
        <v>3.4000000000000002E-2</v>
      </c>
      <c r="I10" s="137"/>
      <c r="J10" s="137">
        <v>0.13</v>
      </c>
      <c r="K10" s="137">
        <v>0.44</v>
      </c>
      <c r="L10" s="137">
        <v>8.4</v>
      </c>
      <c r="M10" s="137">
        <v>22.5</v>
      </c>
      <c r="N10" s="137">
        <v>4.2</v>
      </c>
      <c r="O10" s="137">
        <v>0.35</v>
      </c>
      <c r="P10" s="116"/>
      <c r="Q10" s="116"/>
      <c r="R10" s="116"/>
      <c r="S10" s="116"/>
    </row>
    <row r="11" spans="1:19" s="80" customFormat="1">
      <c r="A11" s="229"/>
      <c r="B11" s="56" t="s">
        <v>151</v>
      </c>
      <c r="C11" s="120">
        <v>50</v>
      </c>
      <c r="D11" s="279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  <c r="P11" s="104"/>
      <c r="Q11" s="104"/>
      <c r="R11" s="117"/>
      <c r="S11" s="117"/>
    </row>
    <row r="12" spans="1:19" s="83" customFormat="1">
      <c r="A12" s="230"/>
      <c r="B12" s="54" t="s">
        <v>117</v>
      </c>
      <c r="C12" s="120">
        <v>10</v>
      </c>
      <c r="D12" s="282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4"/>
      <c r="P12" s="104"/>
      <c r="Q12" s="104"/>
      <c r="R12" s="118"/>
      <c r="S12" s="118"/>
    </row>
    <row r="13" spans="1:19" s="16" customFormat="1">
      <c r="A13" s="172">
        <v>375</v>
      </c>
      <c r="B13" s="10" t="s">
        <v>160</v>
      </c>
      <c r="C13" s="173">
        <v>200</v>
      </c>
      <c r="D13" s="18">
        <f>2/5</f>
        <v>0.4</v>
      </c>
      <c r="E13" s="18">
        <f>0.51/5</f>
        <v>0.10200000000000001</v>
      </c>
      <c r="F13" s="18">
        <f>0.4/5</f>
        <v>0.08</v>
      </c>
      <c r="G13" s="18">
        <f>32/5</f>
        <v>6.4</v>
      </c>
      <c r="H13" s="18">
        <f>0.01/5</f>
        <v>2E-3</v>
      </c>
      <c r="I13" s="18">
        <f>1/5</f>
        <v>0.2</v>
      </c>
      <c r="J13" s="18">
        <f>0</f>
        <v>0</v>
      </c>
      <c r="K13" s="18">
        <f>0</f>
        <v>0</v>
      </c>
      <c r="L13" s="18">
        <f>98.1/5</f>
        <v>19.619999999999997</v>
      </c>
      <c r="M13" s="18">
        <f>82.4/5</f>
        <v>16.48</v>
      </c>
      <c r="N13" s="18">
        <f>44/5</f>
        <v>8.8000000000000007</v>
      </c>
      <c r="O13" s="18">
        <f>8.2/5</f>
        <v>1.64</v>
      </c>
    </row>
    <row r="14" spans="1:19" s="32" customFormat="1" ht="16.149999999999999" customHeight="1">
      <c r="A14" s="140" t="s">
        <v>11</v>
      </c>
      <c r="B14" s="141"/>
      <c r="C14" s="141"/>
      <c r="D14" s="159">
        <f>SUM(D8:D13)</f>
        <v>16.689999999999998</v>
      </c>
      <c r="E14" s="159">
        <f t="shared" ref="E14:G14" si="0">SUM(E8:E13)</f>
        <v>24.922000000000001</v>
      </c>
      <c r="F14" s="159">
        <f t="shared" si="0"/>
        <v>63.66</v>
      </c>
      <c r="G14" s="159">
        <f t="shared" si="0"/>
        <v>509.4</v>
      </c>
      <c r="H14" s="159"/>
      <c r="I14" s="159"/>
      <c r="J14" s="159"/>
      <c r="K14" s="159"/>
      <c r="L14" s="159"/>
      <c r="M14" s="159"/>
      <c r="N14" s="159"/>
      <c r="O14" s="159"/>
      <c r="P14" s="63"/>
      <c r="Q14" s="63"/>
    </row>
    <row r="15" spans="1:19" s="32" customFormat="1" ht="16.149999999999999" customHeight="1">
      <c r="A15" s="297" t="s">
        <v>23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63"/>
      <c r="Q15" s="63"/>
    </row>
    <row r="16" spans="1:19" s="16" customFormat="1" ht="25.5">
      <c r="A16" s="17">
        <v>45</v>
      </c>
      <c r="B16" s="10" t="s">
        <v>68</v>
      </c>
      <c r="C16" s="17">
        <v>100</v>
      </c>
      <c r="D16" s="18">
        <f>13.12/10</f>
        <v>1.3119999999999998</v>
      </c>
      <c r="E16" s="18">
        <f>32.49/10</f>
        <v>3.2490000000000001</v>
      </c>
      <c r="F16" s="18">
        <f>6.5</f>
        <v>6.5</v>
      </c>
      <c r="G16" s="18">
        <v>60.4</v>
      </c>
      <c r="H16" s="18">
        <v>0.02</v>
      </c>
      <c r="I16" s="18">
        <v>17.010000000000002</v>
      </c>
      <c r="J16" s="18"/>
      <c r="K16" s="18">
        <v>8.39</v>
      </c>
      <c r="L16" s="18">
        <v>24.97</v>
      </c>
      <c r="M16" s="18">
        <v>28.3</v>
      </c>
      <c r="N16" s="18">
        <v>15.09</v>
      </c>
      <c r="O16" s="18">
        <v>0.47</v>
      </c>
    </row>
    <row r="17" spans="1:15" s="16" customFormat="1" ht="38.25">
      <c r="A17" s="17">
        <v>82</v>
      </c>
      <c r="B17" s="10" t="s">
        <v>129</v>
      </c>
      <c r="C17" s="17">
        <v>250</v>
      </c>
      <c r="D17" s="18">
        <f>(7.21/4)+0.8</f>
        <v>2.6025</v>
      </c>
      <c r="E17" s="18">
        <f>(19.68/4)+0.2</f>
        <v>5.12</v>
      </c>
      <c r="F17" s="18">
        <f>43.73/4</f>
        <v>10.932499999999999</v>
      </c>
      <c r="G17" s="18">
        <f>(415/4)+5+30</f>
        <v>138.75</v>
      </c>
      <c r="H17" s="18">
        <f>0.2/4</f>
        <v>0.05</v>
      </c>
      <c r="I17" s="18">
        <f>42.7/4</f>
        <v>10.675000000000001</v>
      </c>
      <c r="J17" s="18"/>
      <c r="K17" s="18">
        <f>9.6/4</f>
        <v>2.4</v>
      </c>
      <c r="L17" s="18">
        <f>(198.9/4)+2</f>
        <v>51.725000000000001</v>
      </c>
      <c r="M17" s="18">
        <f>218.4/4</f>
        <v>54.6</v>
      </c>
      <c r="N17" s="18">
        <f>104.5/4</f>
        <v>26.125</v>
      </c>
      <c r="O17" s="18">
        <f>4.9/4</f>
        <v>1.2250000000000001</v>
      </c>
    </row>
    <row r="18" spans="1:15" s="16" customFormat="1">
      <c r="A18" s="17">
        <v>302</v>
      </c>
      <c r="B18" s="10" t="s">
        <v>19</v>
      </c>
      <c r="C18" s="17">
        <v>150</v>
      </c>
      <c r="D18" s="18">
        <f>57.32/100*15</f>
        <v>8.5980000000000008</v>
      </c>
      <c r="E18" s="18">
        <f>40.62/100*15</f>
        <v>6.0929999999999991</v>
      </c>
      <c r="F18" s="18">
        <f>257.61/100*15</f>
        <v>38.641500000000008</v>
      </c>
      <c r="G18" s="18">
        <f>1625/100*15</f>
        <v>243.75</v>
      </c>
      <c r="H18" s="18">
        <f>1.39/100*15</f>
        <v>0.20849999999999999</v>
      </c>
      <c r="I18" s="18"/>
      <c r="J18" s="18"/>
      <c r="K18" s="18">
        <f>4.05/100*15</f>
        <v>0.60750000000000004</v>
      </c>
      <c r="L18" s="18">
        <f>98.8/100*15</f>
        <v>14.82</v>
      </c>
      <c r="M18" s="18">
        <f>1359.5/100*15</f>
        <v>203.92500000000001</v>
      </c>
      <c r="N18" s="18">
        <f>905.5/100*15</f>
        <v>135.82499999999999</v>
      </c>
      <c r="O18" s="18">
        <f>30.4/100*15</f>
        <v>4.5599999999999996</v>
      </c>
    </row>
    <row r="19" spans="1:15" s="16" customFormat="1">
      <c r="A19" s="17">
        <v>261</v>
      </c>
      <c r="B19" s="10" t="s">
        <v>136</v>
      </c>
      <c r="C19" s="17">
        <v>100</v>
      </c>
      <c r="D19" s="18">
        <v>13.26</v>
      </c>
      <c r="E19" s="18">
        <v>8.82</v>
      </c>
      <c r="F19" s="18">
        <v>2.62</v>
      </c>
      <c r="G19" s="18">
        <v>160</v>
      </c>
      <c r="H19" s="18">
        <v>0.19</v>
      </c>
      <c r="I19" s="18">
        <v>24.77</v>
      </c>
      <c r="J19" s="18">
        <v>2337</v>
      </c>
      <c r="K19" s="18">
        <v>2.59</v>
      </c>
      <c r="L19" s="18">
        <v>25.62</v>
      </c>
      <c r="M19" s="18">
        <v>245.55</v>
      </c>
      <c r="N19" s="18">
        <v>16.829999999999998</v>
      </c>
      <c r="O19" s="18">
        <v>13.51</v>
      </c>
    </row>
    <row r="20" spans="1:15" s="31" customFormat="1" ht="12.75">
      <c r="A20" s="173">
        <v>348</v>
      </c>
      <c r="B20" s="10" t="s">
        <v>63</v>
      </c>
      <c r="C20" s="173">
        <v>200</v>
      </c>
      <c r="D20" s="18">
        <f>3.9/5</f>
        <v>0.78</v>
      </c>
      <c r="E20" s="18">
        <f>0.23/5</f>
        <v>4.5999999999999999E-2</v>
      </c>
      <c r="F20" s="18">
        <f>138.15/5</f>
        <v>27.630000000000003</v>
      </c>
      <c r="G20" s="18">
        <f>574/5</f>
        <v>114.8</v>
      </c>
      <c r="H20" s="18">
        <f>0.08/5</f>
        <v>1.6E-2</v>
      </c>
      <c r="I20" s="18">
        <f>3/5</f>
        <v>0.6</v>
      </c>
      <c r="J20" s="18"/>
      <c r="K20" s="18">
        <f>4.12/5</f>
        <v>0.82400000000000007</v>
      </c>
      <c r="L20" s="18">
        <f>161.6/5</f>
        <v>32.32</v>
      </c>
      <c r="M20" s="18">
        <f>109.5/5</f>
        <v>21.9</v>
      </c>
      <c r="N20" s="18">
        <f>87.8/5</f>
        <v>17.559999999999999</v>
      </c>
      <c r="O20" s="18">
        <f>2.4/5</f>
        <v>0.48</v>
      </c>
    </row>
    <row r="21" spans="1:15" s="16" customFormat="1">
      <c r="A21" s="56"/>
      <c r="B21" s="10" t="s">
        <v>14</v>
      </c>
      <c r="C21" s="17">
        <v>40</v>
      </c>
      <c r="D21" s="18">
        <v>2.2400000000000002</v>
      </c>
      <c r="E21" s="18">
        <v>0.88</v>
      </c>
      <c r="F21" s="18">
        <v>19.760000000000002</v>
      </c>
      <c r="G21" s="18">
        <v>91.96</v>
      </c>
      <c r="H21" s="18">
        <v>0.04</v>
      </c>
      <c r="I21" s="18"/>
      <c r="J21" s="18"/>
      <c r="K21" s="18">
        <v>0.36</v>
      </c>
      <c r="L21" s="18">
        <v>9.1999999999999993</v>
      </c>
      <c r="M21" s="18">
        <v>42.4</v>
      </c>
      <c r="N21" s="18">
        <v>10</v>
      </c>
      <c r="O21" s="18">
        <v>1.24</v>
      </c>
    </row>
    <row r="22" spans="1:15" s="16" customFormat="1">
      <c r="A22" s="56"/>
      <c r="B22" s="10" t="s">
        <v>94</v>
      </c>
      <c r="C22" s="139">
        <v>40</v>
      </c>
      <c r="D22" s="18">
        <v>3.16</v>
      </c>
      <c r="E22" s="18">
        <v>0.4</v>
      </c>
      <c r="F22" s="18">
        <v>19.32</v>
      </c>
      <c r="G22" s="18">
        <v>93.52</v>
      </c>
      <c r="H22" s="18">
        <v>0.04</v>
      </c>
      <c r="I22" s="18"/>
      <c r="J22" s="18"/>
      <c r="K22" s="18">
        <v>0.52</v>
      </c>
      <c r="L22" s="18">
        <v>9.1999999999999993</v>
      </c>
      <c r="M22" s="18">
        <v>34.799999999999997</v>
      </c>
      <c r="N22" s="18">
        <v>13.2</v>
      </c>
      <c r="O22" s="18">
        <v>0.44</v>
      </c>
    </row>
    <row r="23" spans="1:15" s="32" customFormat="1" ht="16.149999999999999" customHeight="1">
      <c r="A23" s="140" t="s">
        <v>11</v>
      </c>
      <c r="B23" s="141"/>
      <c r="C23" s="141"/>
      <c r="D23" s="159">
        <f>SUM(D16:D22)</f>
        <v>31.952500000000004</v>
      </c>
      <c r="E23" s="159">
        <f t="shared" ref="E23:G23" si="1">SUM(E16:E22)</f>
        <v>24.607999999999997</v>
      </c>
      <c r="F23" s="159">
        <f t="shared" si="1"/>
        <v>125.40400000000002</v>
      </c>
      <c r="G23" s="159">
        <f t="shared" si="1"/>
        <v>903.18</v>
      </c>
      <c r="H23" s="159"/>
      <c r="I23" s="159"/>
      <c r="J23" s="159"/>
      <c r="K23" s="159"/>
      <c r="L23" s="159"/>
      <c r="M23" s="159"/>
      <c r="N23" s="159"/>
      <c r="O23" s="159"/>
    </row>
    <row r="24" spans="1:15" s="12" customFormat="1" ht="16.149999999999999" customHeight="1">
      <c r="A24" s="339" t="s">
        <v>22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</row>
    <row r="25" spans="1:15" s="32" customFormat="1" ht="25.5">
      <c r="A25" s="344">
        <v>218</v>
      </c>
      <c r="B25" s="10" t="s">
        <v>71</v>
      </c>
      <c r="C25" s="17">
        <v>130</v>
      </c>
      <c r="D25" s="18">
        <v>16.329999999999998</v>
      </c>
      <c r="E25" s="18">
        <v>8</v>
      </c>
      <c r="F25" s="18">
        <v>16.309999999999999</v>
      </c>
      <c r="G25" s="18">
        <v>203</v>
      </c>
      <c r="H25" s="18">
        <v>0.05</v>
      </c>
      <c r="I25" s="18">
        <v>0.37</v>
      </c>
      <c r="J25" s="18">
        <v>56.1</v>
      </c>
      <c r="K25" s="18">
        <v>0.32</v>
      </c>
      <c r="L25" s="18">
        <v>132.81</v>
      </c>
      <c r="M25" s="18">
        <v>167.3</v>
      </c>
      <c r="N25" s="18">
        <v>21</v>
      </c>
      <c r="O25" s="18">
        <v>0.4</v>
      </c>
    </row>
    <row r="26" spans="1:15" s="32" customFormat="1" ht="12.75">
      <c r="A26" s="344"/>
      <c r="B26" s="56" t="s">
        <v>149</v>
      </c>
      <c r="C26" s="127">
        <v>30</v>
      </c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</row>
    <row r="27" spans="1:15" s="16" customFormat="1">
      <c r="A27" s="17">
        <v>338</v>
      </c>
      <c r="B27" s="10" t="s">
        <v>69</v>
      </c>
      <c r="C27" s="17">
        <v>100</v>
      </c>
      <c r="D27" s="18">
        <v>1.5</v>
      </c>
      <c r="E27" s="18">
        <v>0.5</v>
      </c>
      <c r="F27" s="18">
        <v>21</v>
      </c>
      <c r="G27" s="18">
        <v>96</v>
      </c>
      <c r="H27" s="18">
        <v>0.04</v>
      </c>
      <c r="I27" s="18">
        <v>10</v>
      </c>
      <c r="J27" s="18"/>
      <c r="K27" s="18">
        <v>0.4</v>
      </c>
      <c r="L27" s="18">
        <v>8</v>
      </c>
      <c r="M27" s="18">
        <v>28</v>
      </c>
      <c r="N27" s="18">
        <v>42</v>
      </c>
      <c r="O27" s="18">
        <v>0.6</v>
      </c>
    </row>
    <row r="28" spans="1:15" s="16" customFormat="1">
      <c r="A28" s="17">
        <v>386</v>
      </c>
      <c r="B28" s="10" t="s">
        <v>72</v>
      </c>
      <c r="C28" s="17">
        <v>200</v>
      </c>
      <c r="D28" s="18">
        <v>5.8</v>
      </c>
      <c r="E28" s="18">
        <v>5</v>
      </c>
      <c r="F28" s="18">
        <v>8</v>
      </c>
      <c r="G28" s="18">
        <v>100</v>
      </c>
      <c r="H28" s="18">
        <v>0.08</v>
      </c>
      <c r="I28" s="18">
        <v>1.4</v>
      </c>
      <c r="J28" s="18">
        <v>40</v>
      </c>
      <c r="K28" s="18"/>
      <c r="L28" s="18">
        <v>240</v>
      </c>
      <c r="M28" s="18">
        <v>180</v>
      </c>
      <c r="N28" s="18">
        <v>28</v>
      </c>
      <c r="O28" s="18">
        <v>0.2</v>
      </c>
    </row>
    <row r="29" spans="1:15" s="12" customFormat="1" ht="16.149999999999999" customHeight="1">
      <c r="A29" s="140" t="s">
        <v>11</v>
      </c>
      <c r="B29" s="141"/>
      <c r="C29" s="141"/>
      <c r="D29" s="159">
        <f>SUM(D25:D28)</f>
        <v>23.63</v>
      </c>
      <c r="E29" s="159">
        <f t="shared" ref="E29:G29" si="2">SUM(E25:E28)</f>
        <v>13.5</v>
      </c>
      <c r="F29" s="159">
        <f t="shared" si="2"/>
        <v>45.31</v>
      </c>
      <c r="G29" s="159">
        <f t="shared" si="2"/>
        <v>399</v>
      </c>
      <c r="H29" s="159"/>
      <c r="I29" s="159"/>
      <c r="J29" s="159"/>
      <c r="K29" s="159"/>
      <c r="L29" s="159"/>
      <c r="M29" s="159"/>
      <c r="N29" s="159"/>
      <c r="O29" s="159"/>
    </row>
    <row r="30" spans="1:15" s="12" customFormat="1" ht="16.149999999999999" customHeight="1">
      <c r="A30" s="140" t="s">
        <v>15</v>
      </c>
      <c r="B30" s="141"/>
      <c r="C30" s="141"/>
      <c r="D30" s="144">
        <f>SUM(D8:D13)+SUM(D16:D22)+SUM(D25:D28)</f>
        <v>72.272499999999994</v>
      </c>
      <c r="E30" s="144">
        <f t="shared" ref="E30:G30" si="3">SUM(E8:E13)+SUM(E16:E22)+SUM(E25:E28)</f>
        <v>63.03</v>
      </c>
      <c r="F30" s="144">
        <f t="shared" si="3"/>
        <v>234.37400000000002</v>
      </c>
      <c r="G30" s="144">
        <f t="shared" si="3"/>
        <v>1811.58</v>
      </c>
      <c r="H30" s="162"/>
      <c r="I30" s="162"/>
      <c r="J30" s="162"/>
      <c r="K30" s="162"/>
      <c r="L30" s="162"/>
      <c r="M30" s="162"/>
      <c r="N30" s="162"/>
      <c r="O30" s="162"/>
    </row>
    <row r="31" spans="1:15" ht="15.75" thickBot="1"/>
    <row r="32" spans="1:15" s="16" customFormat="1" ht="39" thickBot="1">
      <c r="B32" s="210" t="s">
        <v>74</v>
      </c>
      <c r="C32" s="211"/>
      <c r="D32" s="211"/>
      <c r="E32" s="211"/>
      <c r="F32" s="214" t="s">
        <v>75</v>
      </c>
      <c r="G32" s="215"/>
      <c r="H32" s="216"/>
      <c r="I32" s="41" t="s">
        <v>76</v>
      </c>
    </row>
    <row r="33" spans="2:12" s="16" customFormat="1" ht="15.75" thickBot="1">
      <c r="B33" s="212"/>
      <c r="C33" s="213"/>
      <c r="D33" s="213"/>
      <c r="E33" s="213"/>
      <c r="F33" s="42" t="s">
        <v>1</v>
      </c>
      <c r="G33" s="42" t="s">
        <v>2</v>
      </c>
      <c r="H33" s="42" t="s">
        <v>3</v>
      </c>
      <c r="I33" s="43"/>
    </row>
    <row r="34" spans="2:12" s="16" customFormat="1" ht="15.75" thickBot="1">
      <c r="B34" s="217" t="s">
        <v>78</v>
      </c>
      <c r="C34" s="218"/>
      <c r="D34" s="218"/>
      <c r="E34" s="218"/>
      <c r="F34" s="42" t="s">
        <v>79</v>
      </c>
      <c r="G34" s="42" t="s">
        <v>80</v>
      </c>
      <c r="H34" s="42" t="s">
        <v>81</v>
      </c>
      <c r="I34" s="42" t="s">
        <v>82</v>
      </c>
    </row>
    <row r="35" spans="2:12" ht="15.75" thickBot="1">
      <c r="B35" s="217" t="s">
        <v>77</v>
      </c>
      <c r="C35" s="218"/>
      <c r="D35" s="218"/>
      <c r="E35" s="218"/>
      <c r="F35" s="34">
        <f>D30</f>
        <v>72.272499999999994</v>
      </c>
      <c r="G35" s="34">
        <f>E30</f>
        <v>63.03</v>
      </c>
      <c r="H35" s="34">
        <f>F30</f>
        <v>234.37400000000002</v>
      </c>
      <c r="I35" s="34">
        <f>G30</f>
        <v>1811.58</v>
      </c>
    </row>
    <row r="37" spans="2:12" ht="36.75" customHeight="1">
      <c r="B37" s="249" t="s">
        <v>127</v>
      </c>
      <c r="C37" s="249"/>
      <c r="D37" s="249"/>
      <c r="E37" s="249"/>
      <c r="F37" s="249"/>
      <c r="G37" s="249"/>
      <c r="H37" s="249"/>
      <c r="K37" s="15" t="s">
        <v>45</v>
      </c>
      <c r="L37" s="14" t="s">
        <v>57</v>
      </c>
    </row>
    <row r="38" spans="2:12" ht="24.75" customHeight="1">
      <c r="B38" s="96" t="s">
        <v>89</v>
      </c>
      <c r="C38" s="244" t="s">
        <v>90</v>
      </c>
      <c r="D38" s="244"/>
      <c r="E38" s="244"/>
      <c r="F38" s="244"/>
      <c r="G38" s="250" t="s">
        <v>146</v>
      </c>
      <c r="H38" s="251"/>
      <c r="K38" s="15" t="s">
        <v>47</v>
      </c>
      <c r="L38" s="14" t="s">
        <v>87</v>
      </c>
    </row>
    <row r="39" spans="2:12" ht="30">
      <c r="B39" s="247"/>
      <c r="C39" s="245" t="s">
        <v>91</v>
      </c>
      <c r="D39" s="246"/>
      <c r="E39" s="245" t="s">
        <v>92</v>
      </c>
      <c r="F39" s="246"/>
      <c r="G39" s="96" t="s">
        <v>91</v>
      </c>
      <c r="H39" s="96" t="s">
        <v>92</v>
      </c>
      <c r="K39" s="15" t="s">
        <v>49</v>
      </c>
      <c r="L39" s="14" t="s">
        <v>50</v>
      </c>
    </row>
    <row r="40" spans="2:12" ht="63">
      <c r="B40" s="248"/>
      <c r="C40" s="245" t="s">
        <v>52</v>
      </c>
      <c r="D40" s="246"/>
      <c r="E40" s="245" t="s">
        <v>52</v>
      </c>
      <c r="F40" s="246"/>
      <c r="G40" s="96" t="s">
        <v>52</v>
      </c>
      <c r="H40" s="96" t="s">
        <v>52</v>
      </c>
      <c r="K40" s="15" t="s">
        <v>51</v>
      </c>
      <c r="L40" s="14" t="s">
        <v>52</v>
      </c>
    </row>
    <row r="41" spans="2:12" ht="25.5">
      <c r="B41" s="97" t="s">
        <v>93</v>
      </c>
      <c r="C41" s="252">
        <v>80</v>
      </c>
      <c r="D41" s="253"/>
      <c r="E41" s="252">
        <v>80</v>
      </c>
      <c r="F41" s="253"/>
      <c r="G41" s="98">
        <v>40</v>
      </c>
      <c r="H41" s="98">
        <v>40</v>
      </c>
    </row>
    <row r="42" spans="2:12">
      <c r="B42" s="97" t="s">
        <v>94</v>
      </c>
      <c r="C42" s="252">
        <v>150</v>
      </c>
      <c r="D42" s="253"/>
      <c r="E42" s="252">
        <v>150</v>
      </c>
      <c r="F42" s="253"/>
      <c r="G42" s="98">
        <f>90</f>
        <v>90</v>
      </c>
      <c r="H42" s="98">
        <v>90</v>
      </c>
    </row>
    <row r="43" spans="2:12">
      <c r="B43" s="97" t="s">
        <v>95</v>
      </c>
      <c r="C43" s="252">
        <v>15</v>
      </c>
      <c r="D43" s="253"/>
      <c r="E43" s="252">
        <v>15</v>
      </c>
      <c r="F43" s="253"/>
      <c r="G43" s="98">
        <f>3+3.75+11.5</f>
        <v>18.25</v>
      </c>
      <c r="H43" s="98">
        <v>18.25</v>
      </c>
    </row>
    <row r="44" spans="2:12">
      <c r="B44" s="99" t="s">
        <v>96</v>
      </c>
      <c r="C44" s="254">
        <v>45</v>
      </c>
      <c r="D44" s="255"/>
      <c r="E44" s="254">
        <v>45</v>
      </c>
      <c r="F44" s="255"/>
      <c r="G44" s="100">
        <f>35+40</f>
        <v>75</v>
      </c>
      <c r="H44" s="100">
        <v>75</v>
      </c>
    </row>
    <row r="45" spans="2:12">
      <c r="B45" s="97" t="s">
        <v>97</v>
      </c>
      <c r="C45" s="252">
        <v>15</v>
      </c>
      <c r="D45" s="253"/>
      <c r="E45" s="252">
        <v>15</v>
      </c>
      <c r="F45" s="253"/>
      <c r="G45" s="98"/>
      <c r="H45" s="98"/>
    </row>
    <row r="46" spans="2:12">
      <c r="B46" s="97" t="s">
        <v>98</v>
      </c>
      <c r="C46" s="252" t="s">
        <v>99</v>
      </c>
      <c r="D46" s="253"/>
      <c r="E46" s="256">
        <v>188</v>
      </c>
      <c r="F46" s="257"/>
      <c r="G46" s="98">
        <v>27</v>
      </c>
      <c r="H46" s="98">
        <v>20</v>
      </c>
    </row>
    <row r="47" spans="2:12">
      <c r="B47" s="97" t="s">
        <v>100</v>
      </c>
      <c r="C47" s="252">
        <v>350</v>
      </c>
      <c r="D47" s="253"/>
      <c r="E47" s="252" t="s">
        <v>101</v>
      </c>
      <c r="F47" s="253"/>
      <c r="G47" s="98">
        <f>98.6+12.5+50+25+12.5+3.25+12+7.5</f>
        <v>221.35</v>
      </c>
      <c r="H47" s="131">
        <f>78.9+10+40+20+10+2.5+10+7.5</f>
        <v>178.9</v>
      </c>
    </row>
    <row r="48" spans="2:12">
      <c r="B48" s="97" t="s">
        <v>102</v>
      </c>
      <c r="C48" s="252">
        <v>200</v>
      </c>
      <c r="D48" s="253"/>
      <c r="E48" s="252" t="s">
        <v>103</v>
      </c>
      <c r="F48" s="253"/>
      <c r="G48" s="98">
        <v>100</v>
      </c>
      <c r="H48" s="98">
        <v>100</v>
      </c>
    </row>
    <row r="49" spans="2:8" ht="25.5">
      <c r="B49" s="97" t="s">
        <v>104</v>
      </c>
      <c r="C49" s="252">
        <v>15</v>
      </c>
      <c r="D49" s="253"/>
      <c r="E49" s="252">
        <v>15</v>
      </c>
      <c r="F49" s="253"/>
      <c r="G49" s="98">
        <v>20</v>
      </c>
      <c r="H49" s="98">
        <v>37</v>
      </c>
    </row>
    <row r="50" spans="2:8" ht="38.25">
      <c r="B50" s="97" t="s">
        <v>105</v>
      </c>
      <c r="C50" s="252">
        <v>200</v>
      </c>
      <c r="D50" s="253"/>
      <c r="E50" s="252">
        <v>200</v>
      </c>
      <c r="F50" s="253"/>
      <c r="G50" s="98"/>
      <c r="H50" s="98"/>
    </row>
    <row r="51" spans="2:8" ht="25.5">
      <c r="B51" s="97" t="s">
        <v>106</v>
      </c>
      <c r="C51" s="252" t="s">
        <v>107</v>
      </c>
      <c r="D51" s="253"/>
      <c r="E51" s="252">
        <v>70</v>
      </c>
      <c r="F51" s="253"/>
      <c r="G51" s="98">
        <f>81+40</f>
        <v>121</v>
      </c>
      <c r="H51" s="98">
        <f>71+25</f>
        <v>96</v>
      </c>
    </row>
    <row r="52" spans="2:8" ht="25.5">
      <c r="B52" s="97" t="s">
        <v>108</v>
      </c>
      <c r="C52" s="252" t="s">
        <v>109</v>
      </c>
      <c r="D52" s="253"/>
      <c r="E52" s="252">
        <v>35</v>
      </c>
      <c r="F52" s="253"/>
      <c r="G52" s="98"/>
      <c r="H52" s="98"/>
    </row>
    <row r="53" spans="2:8">
      <c r="B53" s="97" t="s">
        <v>110</v>
      </c>
      <c r="C53" s="252">
        <v>60</v>
      </c>
      <c r="D53" s="253"/>
      <c r="E53" s="252">
        <v>58</v>
      </c>
      <c r="F53" s="253"/>
      <c r="G53" s="98"/>
      <c r="H53" s="98"/>
    </row>
    <row r="54" spans="2:8">
      <c r="B54" s="97" t="s">
        <v>111</v>
      </c>
      <c r="C54" s="252">
        <v>15</v>
      </c>
      <c r="D54" s="253"/>
      <c r="E54" s="252">
        <v>14.7</v>
      </c>
      <c r="F54" s="253"/>
      <c r="G54" s="98"/>
      <c r="H54" s="98"/>
    </row>
    <row r="55" spans="2:8" ht="25.5">
      <c r="B55" s="97" t="s">
        <v>112</v>
      </c>
      <c r="C55" s="252">
        <v>300</v>
      </c>
      <c r="D55" s="253"/>
      <c r="E55" s="252">
        <v>300</v>
      </c>
      <c r="F55" s="253"/>
      <c r="G55" s="98">
        <v>100</v>
      </c>
      <c r="H55" s="98">
        <v>100</v>
      </c>
    </row>
    <row r="56" spans="2:8" ht="38.25">
      <c r="B56" s="97" t="s">
        <v>113</v>
      </c>
      <c r="C56" s="252">
        <v>150</v>
      </c>
      <c r="D56" s="253"/>
      <c r="E56" s="252">
        <v>150</v>
      </c>
      <c r="F56" s="253"/>
      <c r="G56" s="98">
        <v>237</v>
      </c>
      <c r="H56" s="98">
        <v>230</v>
      </c>
    </row>
    <row r="57" spans="2:8" ht="25.5">
      <c r="B57" s="97" t="s">
        <v>114</v>
      </c>
      <c r="C57" s="252">
        <v>50</v>
      </c>
      <c r="D57" s="253"/>
      <c r="E57" s="252">
        <v>50</v>
      </c>
      <c r="F57" s="253"/>
      <c r="G57" s="98">
        <v>83.7</v>
      </c>
      <c r="H57" s="98">
        <v>82</v>
      </c>
    </row>
    <row r="58" spans="2:8">
      <c r="B58" s="97" t="s">
        <v>115</v>
      </c>
      <c r="C58" s="252">
        <v>10</v>
      </c>
      <c r="D58" s="253"/>
      <c r="E58" s="252">
        <v>9.8000000000000007</v>
      </c>
      <c r="F58" s="253"/>
      <c r="G58" s="98"/>
      <c r="H58" s="131"/>
    </row>
    <row r="59" spans="2:8" ht="25.5">
      <c r="B59" s="97" t="s">
        <v>116</v>
      </c>
      <c r="C59" s="252">
        <v>10</v>
      </c>
      <c r="D59" s="253"/>
      <c r="E59" s="252">
        <v>10</v>
      </c>
      <c r="F59" s="253"/>
      <c r="G59" s="103">
        <v>12.5</v>
      </c>
      <c r="H59" s="103">
        <v>12.5</v>
      </c>
    </row>
    <row r="60" spans="2:8">
      <c r="B60" s="97" t="s">
        <v>117</v>
      </c>
      <c r="C60" s="252">
        <v>30</v>
      </c>
      <c r="D60" s="253"/>
      <c r="E60" s="252">
        <v>30</v>
      </c>
      <c r="F60" s="253"/>
      <c r="G60" s="98">
        <v>30</v>
      </c>
      <c r="H60" s="98">
        <v>30</v>
      </c>
    </row>
    <row r="61" spans="2:8">
      <c r="B61" s="97" t="s">
        <v>118</v>
      </c>
      <c r="C61" s="252">
        <v>15</v>
      </c>
      <c r="D61" s="253"/>
      <c r="E61" s="252">
        <v>15</v>
      </c>
      <c r="F61" s="253"/>
      <c r="G61" s="98">
        <v>15</v>
      </c>
      <c r="H61" s="98">
        <v>15</v>
      </c>
    </row>
    <row r="62" spans="2:8">
      <c r="B62" s="97" t="s">
        <v>119</v>
      </c>
      <c r="C62" s="252" t="s">
        <v>120</v>
      </c>
      <c r="D62" s="253"/>
      <c r="E62" s="252">
        <v>40</v>
      </c>
      <c r="F62" s="253"/>
      <c r="G62" s="98">
        <v>40</v>
      </c>
      <c r="H62" s="98">
        <v>40</v>
      </c>
    </row>
    <row r="63" spans="2:8">
      <c r="B63" s="97" t="s">
        <v>121</v>
      </c>
      <c r="C63" s="252">
        <v>40</v>
      </c>
      <c r="D63" s="253"/>
      <c r="E63" s="256">
        <v>40</v>
      </c>
      <c r="F63" s="257"/>
      <c r="G63" s="98">
        <f>5+20+2.5+6+6</f>
        <v>39.5</v>
      </c>
      <c r="H63" s="98">
        <v>39.5</v>
      </c>
    </row>
    <row r="64" spans="2:8">
      <c r="B64" s="97" t="s">
        <v>122</v>
      </c>
      <c r="C64" s="256">
        <v>10</v>
      </c>
      <c r="D64" s="257"/>
      <c r="E64" s="252">
        <v>10</v>
      </c>
      <c r="F64" s="253"/>
      <c r="G64" s="98"/>
      <c r="H64" s="98"/>
    </row>
    <row r="65" spans="2:8">
      <c r="B65" s="97" t="s">
        <v>123</v>
      </c>
      <c r="C65" s="252">
        <v>0.4</v>
      </c>
      <c r="D65" s="253"/>
      <c r="E65" s="252">
        <v>0.4</v>
      </c>
      <c r="F65" s="253"/>
      <c r="G65" s="98">
        <v>0.5</v>
      </c>
      <c r="H65" s="98">
        <v>0.5</v>
      </c>
    </row>
    <row r="66" spans="2:8">
      <c r="B66" s="97" t="s">
        <v>124</v>
      </c>
      <c r="C66" s="252">
        <v>1.2</v>
      </c>
      <c r="D66" s="253"/>
      <c r="E66" s="252">
        <v>1.2</v>
      </c>
      <c r="F66" s="253"/>
      <c r="G66" s="98"/>
      <c r="H66" s="98"/>
    </row>
    <row r="67" spans="2:8">
      <c r="B67" s="97" t="s">
        <v>125</v>
      </c>
      <c r="C67" s="252">
        <v>1</v>
      </c>
      <c r="D67" s="253"/>
      <c r="E67" s="252">
        <v>1</v>
      </c>
      <c r="F67" s="253"/>
      <c r="G67" s="98"/>
      <c r="H67" s="98"/>
    </row>
    <row r="68" spans="2:8">
      <c r="B68" s="97" t="s">
        <v>126</v>
      </c>
      <c r="C68" s="252">
        <v>5</v>
      </c>
      <c r="D68" s="253"/>
      <c r="E68" s="252">
        <v>5</v>
      </c>
      <c r="F68" s="253"/>
      <c r="G68" s="98">
        <v>3.8</v>
      </c>
      <c r="H68" s="98">
        <v>3.8</v>
      </c>
    </row>
  </sheetData>
  <sheetProtection formatCells="0" formatColumns="0" formatRows="0" insertColumns="0" insertRows="0" insertHyperlinks="0" deleteColumns="0" deleteRows="0" sort="0" autoFilter="0" pivotTables="0"/>
  <mergeCells count="82">
    <mergeCell ref="E68:F68"/>
    <mergeCell ref="E63:F63"/>
    <mergeCell ref="E64:F64"/>
    <mergeCell ref="E65:F65"/>
    <mergeCell ref="E66:F66"/>
    <mergeCell ref="E67:F6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C66:D66"/>
    <mergeCell ref="C67:D67"/>
    <mergeCell ref="C68:D68"/>
    <mergeCell ref="E41:F41"/>
    <mergeCell ref="E40:F40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C61:D61"/>
    <mergeCell ref="C62:D62"/>
    <mergeCell ref="C63:D63"/>
    <mergeCell ref="C64:D64"/>
    <mergeCell ref="C65:D65"/>
    <mergeCell ref="C56:D56"/>
    <mergeCell ref="C57:D57"/>
    <mergeCell ref="C58:D58"/>
    <mergeCell ref="C59:D59"/>
    <mergeCell ref="C60:D60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B37:H37"/>
    <mergeCell ref="C38:F38"/>
    <mergeCell ref="B39:B40"/>
    <mergeCell ref="C39:D39"/>
    <mergeCell ref="E39:F39"/>
    <mergeCell ref="G38:H38"/>
    <mergeCell ref="C40:D40"/>
    <mergeCell ref="B32:E33"/>
    <mergeCell ref="F32:H32"/>
    <mergeCell ref="B34:E34"/>
    <mergeCell ref="B35:E35"/>
    <mergeCell ref="A7:O7"/>
    <mergeCell ref="A15:O15"/>
    <mergeCell ref="A24:O24"/>
    <mergeCell ref="A10:A12"/>
    <mergeCell ref="A25:A26"/>
    <mergeCell ref="D11:O12"/>
    <mergeCell ref="D26:O26"/>
    <mergeCell ref="H5:K5"/>
    <mergeCell ref="L5:O5"/>
    <mergeCell ref="A5:A6"/>
    <mergeCell ref="B5:B6"/>
    <mergeCell ref="C5:C6"/>
    <mergeCell ref="D5:F5"/>
    <mergeCell ref="G5:G6"/>
  </mergeCells>
  <pageMargins left="0.70866141732283472" right="0.70866141732283472" top="0.74803149606299213" bottom="0.74803149606299213" header="0.31496062992125984" footer="0.31496062992125984"/>
  <pageSetup paperSize="9" scale="72" fitToWidth="2" fitToHeight="2" orientation="landscape" r:id="rId1"/>
  <rowBreaks count="1" manualBreakCount="1">
    <brk id="3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Ахмед</dc:creator>
  <cp:lastModifiedBy>1</cp:lastModifiedBy>
  <cp:lastPrinted>2020-08-26T10:58:14Z</cp:lastPrinted>
  <dcterms:created xsi:type="dcterms:W3CDTF">2017-02-04T19:31:45Z</dcterms:created>
  <dcterms:modified xsi:type="dcterms:W3CDTF">2020-09-14T10:35:17Z</dcterms:modified>
</cp:coreProperties>
</file>