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1\Finypr\Exchange\#БЮДЖЕТЫ\2025 год\Шокша\"/>
    </mc:Choice>
  </mc:AlternateContent>
  <bookViews>
    <workbookView xWindow="0" yWindow="0" windowWidth="28800" windowHeight="11835" tabRatio="815" firstSheet="1" activeTab="1"/>
  </bookViews>
  <sheets>
    <sheet name="Доходы-2022 (8мес)" sheetId="12" state="hidden" r:id="rId1"/>
    <sheet name="Доходы-2025 (9мес)" sheetId="17" r:id="rId2"/>
    <sheet name="Доходы-2020 30.04" sheetId="7" state="hidden" r:id="rId3"/>
    <sheet name="Доходы-2020 23.06" sheetId="8" state="hidden" r:id="rId4"/>
    <sheet name="Доходы-2020 27.07" sheetId="9" state="hidden" r:id="rId5"/>
  </sheets>
  <definedNames>
    <definedName name="_xlnm.Print_Area" localSheetId="3">'Доходы-2020 23.06'!$A$1:$V$29</definedName>
    <definedName name="_xlnm.Print_Area" localSheetId="1">'Доходы-2025 (9мес)'!$A$1:$L$49</definedName>
  </definedNames>
  <calcPr calcId="152511"/>
</workbook>
</file>

<file path=xl/calcChain.xml><?xml version="1.0" encoding="utf-8"?>
<calcChain xmlns="http://schemas.openxmlformats.org/spreadsheetml/2006/main">
  <c r="K6" i="17" l="1"/>
  <c r="K7" i="17"/>
  <c r="K19" i="17"/>
  <c r="K8" i="17" l="1"/>
  <c r="C8" i="17"/>
  <c r="D8" i="17"/>
  <c r="E8" i="17"/>
  <c r="F8" i="17"/>
  <c r="B8" i="17"/>
  <c r="G10" i="17"/>
  <c r="H10" i="17"/>
  <c r="I10" i="17"/>
  <c r="J10" i="17"/>
  <c r="G9" i="17"/>
  <c r="H9" i="17"/>
  <c r="I9" i="17"/>
  <c r="J9" i="17"/>
  <c r="G24" i="17" l="1"/>
  <c r="H24" i="17"/>
  <c r="I24" i="17" s="1"/>
  <c r="J24" i="17" s="1"/>
  <c r="H21" i="17"/>
  <c r="I21" i="17" s="1"/>
  <c r="J21" i="17" s="1"/>
  <c r="G21" i="17"/>
  <c r="H20" i="17"/>
  <c r="I20" i="17" s="1"/>
  <c r="J20" i="17" s="1"/>
  <c r="G20" i="17"/>
  <c r="F19" i="17"/>
  <c r="E19" i="17"/>
  <c r="D19" i="17"/>
  <c r="C19" i="17"/>
  <c r="B19" i="17"/>
  <c r="C44" i="17"/>
  <c r="I19" i="17" l="1"/>
  <c r="J19" i="17" s="1"/>
  <c r="H12" i="17"/>
  <c r="G12" i="17"/>
  <c r="H29" i="17"/>
  <c r="I29" i="17" s="1"/>
  <c r="G29" i="17"/>
  <c r="K11" i="17"/>
  <c r="K36" i="17"/>
  <c r="C36" i="17"/>
  <c r="D36" i="17"/>
  <c r="E36" i="17"/>
  <c r="F36" i="17"/>
  <c r="B36" i="17"/>
  <c r="E22" i="17"/>
  <c r="E11" i="17"/>
  <c r="I26" i="17"/>
  <c r="K25" i="17"/>
  <c r="F25" i="17"/>
  <c r="E25" i="17"/>
  <c r="D25" i="17"/>
  <c r="C25" i="17"/>
  <c r="B25" i="17"/>
  <c r="B22" i="17"/>
  <c r="G15" i="17"/>
  <c r="H15" i="17"/>
  <c r="I15" i="17" s="1"/>
  <c r="J15" i="17" s="1"/>
  <c r="K22" i="17"/>
  <c r="F22" i="17"/>
  <c r="D22" i="17"/>
  <c r="C22" i="17"/>
  <c r="C17" i="17"/>
  <c r="D17" i="17"/>
  <c r="E17" i="17"/>
  <c r="F17" i="17"/>
  <c r="B17" i="17"/>
  <c r="B11" i="17"/>
  <c r="C11" i="17"/>
  <c r="D11" i="17"/>
  <c r="F11" i="17"/>
  <c r="K13" i="17"/>
  <c r="F13" i="17"/>
  <c r="C13" i="17"/>
  <c r="D13" i="17"/>
  <c r="E13" i="17"/>
  <c r="B13" i="17"/>
  <c r="B27" i="17"/>
  <c r="C27" i="17"/>
  <c r="D27" i="17"/>
  <c r="E27" i="17"/>
  <c r="F27" i="17"/>
  <c r="K27" i="17"/>
  <c r="B6" i="17" l="1"/>
  <c r="F6" i="17"/>
  <c r="G22" i="17"/>
  <c r="E6" i="17"/>
  <c r="C6" i="17"/>
  <c r="D6" i="17"/>
  <c r="J26" i="17"/>
  <c r="I25" i="17"/>
  <c r="J25" i="17" s="1"/>
  <c r="H22" i="17"/>
  <c r="H27" i="17"/>
  <c r="E49" i="17"/>
  <c r="K17" i="17"/>
  <c r="H31" i="17"/>
  <c r="I31" i="17" s="1"/>
  <c r="J31" i="17" s="1"/>
  <c r="G31" i="17"/>
  <c r="K30" i="17"/>
  <c r="F30" i="17"/>
  <c r="E30" i="17"/>
  <c r="D30" i="17"/>
  <c r="C30" i="17"/>
  <c r="B30" i="17"/>
  <c r="J29" i="17"/>
  <c r="I28" i="17"/>
  <c r="H23" i="17"/>
  <c r="I23" i="17" s="1"/>
  <c r="G23" i="17"/>
  <c r="H18" i="17"/>
  <c r="I18" i="17" s="1"/>
  <c r="I17" i="17" s="1"/>
  <c r="G18" i="17"/>
  <c r="H16" i="17"/>
  <c r="I16" i="17" s="1"/>
  <c r="J16" i="17" s="1"/>
  <c r="G16" i="17"/>
  <c r="H14" i="17"/>
  <c r="I14" i="17" s="1"/>
  <c r="J14" i="17" s="1"/>
  <c r="G14" i="17"/>
  <c r="I13" i="17"/>
  <c r="I12" i="17"/>
  <c r="H8" i="17"/>
  <c r="I8" i="17" s="1"/>
  <c r="J8" i="17" s="1"/>
  <c r="G8" i="17"/>
  <c r="H7" i="17"/>
  <c r="I7" i="17" s="1"/>
  <c r="G7" i="17"/>
  <c r="J12" i="17" l="1"/>
  <c r="I11" i="17"/>
  <c r="J11" i="17" s="1"/>
  <c r="J23" i="17"/>
  <c r="I22" i="17"/>
  <c r="J22" i="17" s="1"/>
  <c r="B32" i="17"/>
  <c r="B35" i="17" s="1"/>
  <c r="J28" i="17"/>
  <c r="I27" i="17"/>
  <c r="J27" i="17" s="1"/>
  <c r="H11" i="17"/>
  <c r="G11" i="17"/>
  <c r="H30" i="17"/>
  <c r="I30" i="17" s="1"/>
  <c r="J30" i="17" s="1"/>
  <c r="H17" i="17"/>
  <c r="H36" i="17"/>
  <c r="I36" i="17" s="1"/>
  <c r="J36" i="17" s="1"/>
  <c r="J7" i="17"/>
  <c r="J13" i="17"/>
  <c r="J18" i="17"/>
  <c r="J17" i="17"/>
  <c r="G17" i="17"/>
  <c r="G30" i="17"/>
  <c r="G36" i="17"/>
  <c r="I6" i="17" l="1"/>
  <c r="J6" i="17" s="1"/>
  <c r="J32" i="17" s="1"/>
  <c r="D32" i="17"/>
  <c r="D35" i="17" s="1"/>
  <c r="C32" i="17"/>
  <c r="C35" i="17" s="1"/>
  <c r="I32" i="17" l="1"/>
  <c r="K32" i="17"/>
  <c r="K35" i="17" s="1"/>
  <c r="E32" i="17"/>
  <c r="E35" i="17" s="1"/>
  <c r="F32" i="17"/>
  <c r="F35" i="17" s="1"/>
  <c r="H6" i="17"/>
  <c r="G6" i="17"/>
  <c r="H32" i="17" l="1"/>
  <c r="G32" i="17"/>
  <c r="H35" i="17"/>
  <c r="I35" i="17" s="1"/>
  <c r="J35" i="17" s="1"/>
  <c r="G35" i="17"/>
  <c r="H39" i="12" l="1"/>
  <c r="I39" i="12" s="1"/>
  <c r="D94" i="12" l="1"/>
  <c r="D93" i="12"/>
  <c r="C95" i="12"/>
  <c r="E87" i="12"/>
  <c r="I35" i="12"/>
  <c r="I33" i="12"/>
  <c r="D95" i="12" l="1"/>
  <c r="C96" i="12" s="1"/>
  <c r="G30" i="12" l="1"/>
  <c r="J15" i="12"/>
  <c r="H14" i="12"/>
  <c r="C56" i="12"/>
  <c r="D56" i="12"/>
  <c r="B56" i="12"/>
  <c r="E77" i="12" l="1"/>
  <c r="C78" i="12" s="1"/>
  <c r="E78" i="12" l="1"/>
  <c r="C79" i="12" s="1"/>
  <c r="E79" i="12" s="1"/>
  <c r="H7" i="12"/>
  <c r="I7" i="12" s="1"/>
  <c r="C38" i="12"/>
  <c r="H38" i="12" s="1"/>
  <c r="E72" i="12"/>
  <c r="D72" i="12"/>
  <c r="C72" i="12"/>
  <c r="D64" i="12"/>
  <c r="C64" i="12"/>
  <c r="B64" i="12"/>
  <c r="M51" i="12"/>
  <c r="L51" i="12"/>
  <c r="K51" i="12"/>
  <c r="F51" i="12"/>
  <c r="E51" i="12"/>
  <c r="D51" i="12"/>
  <c r="C51" i="12"/>
  <c r="B51" i="12"/>
  <c r="M50" i="12"/>
  <c r="L50" i="12"/>
  <c r="K50" i="12"/>
  <c r="F50" i="12"/>
  <c r="E50" i="12"/>
  <c r="D50" i="12"/>
  <c r="C50" i="12"/>
  <c r="B50" i="12"/>
  <c r="H45" i="12"/>
  <c r="I45" i="12" s="1"/>
  <c r="G45" i="12"/>
  <c r="M44" i="12"/>
  <c r="L44" i="12"/>
  <c r="K44" i="12"/>
  <c r="F44" i="12"/>
  <c r="E44" i="12"/>
  <c r="D44" i="12"/>
  <c r="C44" i="12"/>
  <c r="B44" i="12"/>
  <c r="H43" i="12"/>
  <c r="I43" i="12" s="1"/>
  <c r="J43" i="12" s="1"/>
  <c r="G43" i="12"/>
  <c r="H42" i="12"/>
  <c r="I42" i="12" s="1"/>
  <c r="M41" i="12"/>
  <c r="L41" i="12"/>
  <c r="K41" i="12"/>
  <c r="F41" i="12"/>
  <c r="E41" i="12"/>
  <c r="D41" i="12"/>
  <c r="C41" i="12"/>
  <c r="B41" i="12"/>
  <c r="H40" i="12"/>
  <c r="I40" i="12" s="1"/>
  <c r="J40" i="12" s="1"/>
  <c r="G40" i="12"/>
  <c r="J39" i="12"/>
  <c r="G39" i="12"/>
  <c r="G38" i="12"/>
  <c r="D38" i="12"/>
  <c r="D37" i="12" s="1"/>
  <c r="M37" i="12"/>
  <c r="L37" i="12"/>
  <c r="K37" i="12"/>
  <c r="F37" i="12"/>
  <c r="E37" i="12"/>
  <c r="B37" i="12"/>
  <c r="H36" i="12"/>
  <c r="I36" i="12" s="1"/>
  <c r="J36" i="12" s="1"/>
  <c r="J35" i="12"/>
  <c r="H35" i="12"/>
  <c r="G35" i="12"/>
  <c r="M34" i="12"/>
  <c r="L34" i="12"/>
  <c r="K34" i="12"/>
  <c r="F34" i="12"/>
  <c r="E34" i="12"/>
  <c r="D34" i="12"/>
  <c r="C34" i="12"/>
  <c r="B34" i="12"/>
  <c r="J33" i="12"/>
  <c r="H32" i="12"/>
  <c r="I32" i="12" s="1"/>
  <c r="J32" i="12" s="1"/>
  <c r="M31" i="12"/>
  <c r="L31" i="12"/>
  <c r="L28" i="12" s="1"/>
  <c r="K31" i="12"/>
  <c r="F31" i="12"/>
  <c r="E31" i="12"/>
  <c r="D31" i="12"/>
  <c r="C31" i="12"/>
  <c r="B31" i="12"/>
  <c r="H30" i="12"/>
  <c r="I30" i="12" s="1"/>
  <c r="J30" i="12" s="1"/>
  <c r="H29" i="12"/>
  <c r="I29" i="12" s="1"/>
  <c r="C28" i="12"/>
  <c r="B28" i="12"/>
  <c r="H27" i="12"/>
  <c r="G27" i="12"/>
  <c r="I26" i="12"/>
  <c r="J26" i="12" s="1"/>
  <c r="H25" i="12"/>
  <c r="I25" i="12" s="1"/>
  <c r="J25" i="12" s="1"/>
  <c r="G25" i="12"/>
  <c r="H24" i="12"/>
  <c r="I24" i="12" s="1"/>
  <c r="J24" i="12" s="1"/>
  <c r="H23" i="12"/>
  <c r="I23" i="12" s="1"/>
  <c r="J23" i="12" s="1"/>
  <c r="G23" i="12"/>
  <c r="M22" i="12"/>
  <c r="L22" i="12"/>
  <c r="K22" i="12"/>
  <c r="F22" i="12"/>
  <c r="E22" i="12"/>
  <c r="D22" i="12"/>
  <c r="C22" i="12"/>
  <c r="B22" i="12"/>
  <c r="H21" i="12"/>
  <c r="I21" i="12" s="1"/>
  <c r="J21" i="12" s="1"/>
  <c r="G21" i="12"/>
  <c r="H20" i="12"/>
  <c r="I20" i="12" s="1"/>
  <c r="J20" i="12" s="1"/>
  <c r="G20" i="12"/>
  <c r="M19" i="12"/>
  <c r="M17" i="12" s="1"/>
  <c r="L19" i="12"/>
  <c r="L17" i="12" s="1"/>
  <c r="K19" i="12"/>
  <c r="F19" i="12"/>
  <c r="E19" i="12"/>
  <c r="J19" i="12" s="1"/>
  <c r="D19" i="12"/>
  <c r="D17" i="12" s="1"/>
  <c r="C19" i="12"/>
  <c r="B19" i="12"/>
  <c r="H18" i="12"/>
  <c r="I18" i="12" s="1"/>
  <c r="G18" i="12"/>
  <c r="H16" i="12"/>
  <c r="I16" i="12" s="1"/>
  <c r="J16" i="12" s="1"/>
  <c r="G16" i="12"/>
  <c r="I14" i="12"/>
  <c r="G14" i="12"/>
  <c r="M13" i="12"/>
  <c r="L13" i="12"/>
  <c r="K13" i="12"/>
  <c r="F13" i="12"/>
  <c r="E13" i="12"/>
  <c r="D13" i="12"/>
  <c r="C13" i="12"/>
  <c r="B13" i="12"/>
  <c r="H12" i="12"/>
  <c r="I12" i="12" s="1"/>
  <c r="J12" i="12" s="1"/>
  <c r="G12" i="12"/>
  <c r="H11" i="12"/>
  <c r="I11" i="12" s="1"/>
  <c r="J11" i="12" s="1"/>
  <c r="G11" i="12"/>
  <c r="H10" i="12"/>
  <c r="I10" i="12" s="1"/>
  <c r="I9" i="12" s="1"/>
  <c r="G10" i="12"/>
  <c r="M9" i="12"/>
  <c r="L9" i="12"/>
  <c r="K9" i="12"/>
  <c r="F9" i="12"/>
  <c r="E9" i="12"/>
  <c r="D9" i="12"/>
  <c r="C9" i="12"/>
  <c r="B9" i="12"/>
  <c r="H8" i="12"/>
  <c r="I8" i="12" s="1"/>
  <c r="J8" i="12" s="1"/>
  <c r="G8" i="12"/>
  <c r="G7" i="12"/>
  <c r="E28" i="12" l="1"/>
  <c r="M28" i="12"/>
  <c r="G19" i="12"/>
  <c r="H13" i="12"/>
  <c r="G9" i="12"/>
  <c r="F28" i="12"/>
  <c r="G28" i="12" s="1"/>
  <c r="I38" i="12"/>
  <c r="I37" i="12" s="1"/>
  <c r="J37" i="12" s="1"/>
  <c r="G13" i="12"/>
  <c r="C17" i="12"/>
  <c r="H31" i="12"/>
  <c r="I31" i="12" s="1"/>
  <c r="J31" i="12" s="1"/>
  <c r="J38" i="12"/>
  <c r="H22" i="12"/>
  <c r="I22" i="12" s="1"/>
  <c r="I17" i="12" s="1"/>
  <c r="H34" i="12"/>
  <c r="K28" i="12"/>
  <c r="J42" i="12"/>
  <c r="I41" i="12"/>
  <c r="J14" i="12"/>
  <c r="I13" i="12"/>
  <c r="J13" i="12" s="1"/>
  <c r="J29" i="12"/>
  <c r="G34" i="12"/>
  <c r="I34" i="12"/>
  <c r="J34" i="12" s="1"/>
  <c r="J9" i="12"/>
  <c r="F17" i="12"/>
  <c r="H17" i="12" s="1"/>
  <c r="I27" i="12"/>
  <c r="J27" i="12" s="1"/>
  <c r="G37" i="12"/>
  <c r="H19" i="12"/>
  <c r="B17" i="12"/>
  <c r="B6" i="12" s="1"/>
  <c r="B46" i="12" s="1"/>
  <c r="G22" i="12"/>
  <c r="D28" i="12"/>
  <c r="D6" i="12" s="1"/>
  <c r="D46" i="12" s="1"/>
  <c r="K17" i="12"/>
  <c r="L6" i="12"/>
  <c r="C37" i="12"/>
  <c r="H37" i="12" s="1"/>
  <c r="H9" i="12"/>
  <c r="J10" i="12"/>
  <c r="J7" i="12"/>
  <c r="J18" i="12"/>
  <c r="H50" i="12"/>
  <c r="I50" i="12" s="1"/>
  <c r="J50" i="12" s="1"/>
  <c r="G50" i="12"/>
  <c r="J45" i="12"/>
  <c r="H51" i="12"/>
  <c r="I51" i="12" s="1"/>
  <c r="J51" i="12" s="1"/>
  <c r="G51" i="12"/>
  <c r="M6" i="12"/>
  <c r="M46" i="12" s="1"/>
  <c r="E17" i="12"/>
  <c r="H41" i="12"/>
  <c r="G41" i="12"/>
  <c r="H44" i="12"/>
  <c r="I44" i="12" s="1"/>
  <c r="J44" i="12" s="1"/>
  <c r="G44" i="12"/>
  <c r="B49" i="12" l="1"/>
  <c r="C6" i="12"/>
  <c r="C46" i="12" s="1"/>
  <c r="I28" i="12"/>
  <c r="J28" i="12" s="1"/>
  <c r="H28" i="12"/>
  <c r="K6" i="12"/>
  <c r="K49" i="12" s="1"/>
  <c r="I6" i="12"/>
  <c r="J41" i="12"/>
  <c r="L49" i="12"/>
  <c r="L46" i="12"/>
  <c r="D49" i="12"/>
  <c r="J22" i="12"/>
  <c r="M49" i="12"/>
  <c r="I46" i="12"/>
  <c r="F6" i="12"/>
  <c r="G17" i="12"/>
  <c r="J17" i="12"/>
  <c r="J6" i="12" s="1"/>
  <c r="J46" i="12" s="1"/>
  <c r="E6" i="12"/>
  <c r="C49" i="12" l="1"/>
  <c r="K46" i="12"/>
  <c r="E49" i="12"/>
  <c r="E46" i="12"/>
  <c r="F46" i="12"/>
  <c r="G6" i="12"/>
  <c r="F49" i="12"/>
  <c r="H6" i="12"/>
  <c r="H46" i="12" l="1"/>
  <c r="G46" i="12"/>
  <c r="H49" i="12"/>
  <c r="I49" i="12" s="1"/>
  <c r="J49" i="12" s="1"/>
  <c r="G49" i="12"/>
  <c r="AA16" i="9" l="1"/>
  <c r="U16" i="9"/>
  <c r="L16" i="9"/>
  <c r="N16" i="9"/>
  <c r="Y19" i="9" l="1"/>
  <c r="Y18" i="9"/>
  <c r="Y16" i="9" s="1"/>
  <c r="S19" i="9"/>
  <c r="S18" i="9"/>
  <c r="S16" i="9" s="1"/>
  <c r="AA23" i="9" l="1"/>
  <c r="AA10" i="9"/>
  <c r="AA7" i="9" s="1"/>
  <c r="AB27" i="9"/>
  <c r="AB26" i="9"/>
  <c r="AB25" i="9"/>
  <c r="AB24" i="9"/>
  <c r="AB22" i="9"/>
  <c r="AB21" i="9"/>
  <c r="AB20" i="9"/>
  <c r="AB19" i="9"/>
  <c r="AB18" i="9"/>
  <c r="AB17" i="9"/>
  <c r="AB15" i="9"/>
  <c r="AB14" i="9"/>
  <c r="AB13" i="9"/>
  <c r="AB12" i="9"/>
  <c r="AB11" i="9"/>
  <c r="AB9" i="9"/>
  <c r="AB8" i="9"/>
  <c r="U23" i="9"/>
  <c r="U10" i="9"/>
  <c r="U7" i="9" s="1"/>
  <c r="U28" i="9" s="1"/>
  <c r="V27" i="9"/>
  <c r="V26" i="9"/>
  <c r="V25" i="9"/>
  <c r="V24" i="9"/>
  <c r="V22" i="9"/>
  <c r="V21" i="9"/>
  <c r="V20" i="9"/>
  <c r="V19" i="9"/>
  <c r="V18" i="9"/>
  <c r="V17" i="9"/>
  <c r="V15" i="9"/>
  <c r="V14" i="9"/>
  <c r="V13" i="9"/>
  <c r="V12" i="9"/>
  <c r="V11" i="9"/>
  <c r="V9" i="9"/>
  <c r="V8" i="9"/>
  <c r="O9" i="9"/>
  <c r="O11" i="9"/>
  <c r="O12" i="9"/>
  <c r="O13" i="9"/>
  <c r="O14" i="9"/>
  <c r="O15" i="9"/>
  <c r="O17" i="9"/>
  <c r="O18" i="9"/>
  <c r="O19" i="9"/>
  <c r="O20" i="9"/>
  <c r="O21" i="9"/>
  <c r="O22" i="9"/>
  <c r="O24" i="9"/>
  <c r="O25" i="9"/>
  <c r="O26" i="9"/>
  <c r="O27" i="9"/>
  <c r="O8" i="9"/>
  <c r="N23" i="9"/>
  <c r="N10" i="9"/>
  <c r="Z27" i="9"/>
  <c r="T27" i="9"/>
  <c r="Q27" i="9"/>
  <c r="M27" i="9"/>
  <c r="J27" i="9"/>
  <c r="G27" i="9"/>
  <c r="F27" i="9"/>
  <c r="Z26" i="9"/>
  <c r="T26" i="9"/>
  <c r="Q26" i="9"/>
  <c r="M26" i="9"/>
  <c r="J26" i="9"/>
  <c r="G26" i="9"/>
  <c r="F26" i="9"/>
  <c r="Z25" i="9"/>
  <c r="T25" i="9"/>
  <c r="Q25" i="9"/>
  <c r="M25" i="9"/>
  <c r="J25" i="9"/>
  <c r="G25" i="9"/>
  <c r="F25" i="9"/>
  <c r="Z24" i="9"/>
  <c r="T24" i="9"/>
  <c r="Q24" i="9"/>
  <c r="M24" i="9"/>
  <c r="J24" i="9"/>
  <c r="G24" i="9"/>
  <c r="F24" i="9"/>
  <c r="Y23" i="9"/>
  <c r="AB23" i="9" s="1"/>
  <c r="X23" i="9"/>
  <c r="W23" i="9"/>
  <c r="S23" i="9"/>
  <c r="R23" i="9"/>
  <c r="P23" i="9"/>
  <c r="L23" i="9"/>
  <c r="K23" i="9"/>
  <c r="I23" i="9"/>
  <c r="H23" i="9"/>
  <c r="E23" i="9"/>
  <c r="D23" i="9"/>
  <c r="C23" i="9"/>
  <c r="B23" i="9"/>
  <c r="Z22" i="9"/>
  <c r="T22" i="9"/>
  <c r="Q22" i="9"/>
  <c r="M22" i="9"/>
  <c r="J22" i="9"/>
  <c r="G22" i="9"/>
  <c r="F22" i="9"/>
  <c r="Z21" i="9"/>
  <c r="T21" i="9"/>
  <c r="Q21" i="9"/>
  <c r="M21" i="9"/>
  <c r="J21" i="9"/>
  <c r="G21" i="9"/>
  <c r="F21" i="9"/>
  <c r="Z20" i="9"/>
  <c r="T20" i="9"/>
  <c r="Q20" i="9"/>
  <c r="M20" i="9"/>
  <c r="J20" i="9"/>
  <c r="G20" i="9"/>
  <c r="F20" i="9"/>
  <c r="Z19" i="9"/>
  <c r="T19" i="9"/>
  <c r="Q19" i="9"/>
  <c r="M19" i="9"/>
  <c r="I19" i="9"/>
  <c r="G19" i="9"/>
  <c r="F19" i="9"/>
  <c r="Z18" i="9"/>
  <c r="T18" i="9"/>
  <c r="Q18" i="9"/>
  <c r="I18" i="9"/>
  <c r="G18" i="9"/>
  <c r="F18" i="9"/>
  <c r="Z17" i="9"/>
  <c r="T17" i="9"/>
  <c r="Q17" i="9"/>
  <c r="M17" i="9"/>
  <c r="J17" i="9"/>
  <c r="G17" i="9"/>
  <c r="F17" i="9"/>
  <c r="X16" i="9"/>
  <c r="W16" i="9"/>
  <c r="R16" i="9"/>
  <c r="P16" i="9"/>
  <c r="K16" i="9"/>
  <c r="H16" i="9"/>
  <c r="E16" i="9"/>
  <c r="D16" i="9"/>
  <c r="F16" i="9" s="1"/>
  <c r="C16" i="9"/>
  <c r="B16" i="9"/>
  <c r="Z15" i="9"/>
  <c r="T15" i="9"/>
  <c r="Q15" i="9"/>
  <c r="M15" i="9"/>
  <c r="J15" i="9"/>
  <c r="G15" i="9"/>
  <c r="F15" i="9"/>
  <c r="Z14" i="9"/>
  <c r="T14" i="9"/>
  <c r="Q14" i="9"/>
  <c r="M14" i="9"/>
  <c r="J14" i="9"/>
  <c r="G14" i="9"/>
  <c r="F14" i="9"/>
  <c r="Z13" i="9"/>
  <c r="T13" i="9"/>
  <c r="Q13" i="9"/>
  <c r="M13" i="9"/>
  <c r="J13" i="9"/>
  <c r="G13" i="9"/>
  <c r="F13" i="9"/>
  <c r="Z12" i="9"/>
  <c r="T12" i="9"/>
  <c r="Q12" i="9"/>
  <c r="M12" i="9"/>
  <c r="J12" i="9"/>
  <c r="G12" i="9"/>
  <c r="F12" i="9"/>
  <c r="Z11" i="9"/>
  <c r="T11" i="9"/>
  <c r="Q11" i="9"/>
  <c r="M11" i="9"/>
  <c r="J11" i="9"/>
  <c r="G11" i="9"/>
  <c r="F11" i="9"/>
  <c r="Y10" i="9"/>
  <c r="X10" i="9"/>
  <c r="W10" i="9"/>
  <c r="S10" i="9"/>
  <c r="R10" i="9"/>
  <c r="P10" i="9"/>
  <c r="L10" i="9"/>
  <c r="M10" i="9" s="1"/>
  <c r="K10" i="9"/>
  <c r="I10" i="9"/>
  <c r="H10" i="9"/>
  <c r="E10" i="9"/>
  <c r="D10" i="9"/>
  <c r="C10" i="9"/>
  <c r="B10" i="9"/>
  <c r="Z9" i="9"/>
  <c r="T9" i="9"/>
  <c r="Q9" i="9"/>
  <c r="M9" i="9"/>
  <c r="J9" i="9"/>
  <c r="Z8" i="9"/>
  <c r="T8" i="9"/>
  <c r="Q8" i="9"/>
  <c r="M8" i="9"/>
  <c r="J8" i="9"/>
  <c r="G8" i="9"/>
  <c r="F8" i="9"/>
  <c r="R7" i="9"/>
  <c r="R28" i="9" s="1"/>
  <c r="K7" i="9"/>
  <c r="K28" i="9" s="1"/>
  <c r="W7" i="9" l="1"/>
  <c r="W28" i="9" s="1"/>
  <c r="B7" i="9"/>
  <c r="B28" i="9" s="1"/>
  <c r="O16" i="9"/>
  <c r="H7" i="9"/>
  <c r="H28" i="9" s="1"/>
  <c r="X7" i="9"/>
  <c r="X28" i="9" s="1"/>
  <c r="G16" i="9"/>
  <c r="C7" i="9"/>
  <c r="C28" i="9" s="1"/>
  <c r="Z23" i="9"/>
  <c r="V23" i="9"/>
  <c r="E7" i="9"/>
  <c r="O23" i="9"/>
  <c r="Z16" i="9"/>
  <c r="Q23" i="9"/>
  <c r="T23" i="9"/>
  <c r="AB16" i="9"/>
  <c r="T16" i="9"/>
  <c r="V16" i="9"/>
  <c r="AA28" i="9"/>
  <c r="AB10" i="9"/>
  <c r="Z10" i="9"/>
  <c r="N7" i="9"/>
  <c r="O10" i="9"/>
  <c r="V10" i="9"/>
  <c r="D7" i="9"/>
  <c r="D28" i="9" s="1"/>
  <c r="S7" i="9"/>
  <c r="V7" i="9" s="1"/>
  <c r="G23" i="9"/>
  <c r="Y7" i="9"/>
  <c r="Q10" i="9"/>
  <c r="P7" i="9"/>
  <c r="T10" i="9"/>
  <c r="G10" i="9"/>
  <c r="F10" i="9"/>
  <c r="J10" i="9"/>
  <c r="L7" i="9"/>
  <c r="Q16" i="9"/>
  <c r="J19" i="9"/>
  <c r="E28" i="9"/>
  <c r="I16" i="9"/>
  <c r="J18" i="9"/>
  <c r="F23" i="9"/>
  <c r="J23" i="9"/>
  <c r="M23" i="9"/>
  <c r="M18" i="9"/>
  <c r="M16" i="9" s="1"/>
  <c r="Z7" i="9" l="1"/>
  <c r="G7" i="9"/>
  <c r="Y28" i="9"/>
  <c r="Z28" i="9" s="1"/>
  <c r="AB7" i="9"/>
  <c r="S28" i="9"/>
  <c r="V28" i="9" s="1"/>
  <c r="N28" i="9"/>
  <c r="O7" i="9"/>
  <c r="F7" i="9"/>
  <c r="T7" i="9"/>
  <c r="Q7" i="9"/>
  <c r="P28" i="9"/>
  <c r="Q28" i="9" s="1"/>
  <c r="J16" i="9"/>
  <c r="I7" i="9"/>
  <c r="F28" i="9"/>
  <c r="G28" i="9"/>
  <c r="L28" i="9"/>
  <c r="M7" i="9"/>
  <c r="AB28" i="9" l="1"/>
  <c r="O28" i="9"/>
  <c r="T28" i="9"/>
  <c r="J7" i="9"/>
  <c r="I28" i="9"/>
  <c r="M28" i="9" s="1"/>
  <c r="J28" i="9" l="1"/>
  <c r="I18" i="8"/>
  <c r="L10" i="8"/>
  <c r="L16" i="8"/>
  <c r="L24" i="8"/>
  <c r="L7" i="8" l="1"/>
  <c r="L29" i="8" s="1"/>
  <c r="V8" i="8"/>
  <c r="V9" i="8"/>
  <c r="V11" i="8"/>
  <c r="V12" i="8"/>
  <c r="V13" i="8"/>
  <c r="V14" i="8"/>
  <c r="V15" i="8"/>
  <c r="V17" i="8"/>
  <c r="V18" i="8"/>
  <c r="V19" i="8"/>
  <c r="V20" i="8"/>
  <c r="V21" i="8"/>
  <c r="V22" i="8"/>
  <c r="V23" i="8"/>
  <c r="V25" i="8"/>
  <c r="V26" i="8"/>
  <c r="V27" i="8"/>
  <c r="V28" i="8"/>
  <c r="R28" i="8"/>
  <c r="R27" i="8"/>
  <c r="R26" i="8"/>
  <c r="R25" i="8"/>
  <c r="R23" i="8"/>
  <c r="R22" i="8"/>
  <c r="R21" i="8"/>
  <c r="R20" i="8"/>
  <c r="R19" i="8"/>
  <c r="R18" i="8"/>
  <c r="R17" i="8"/>
  <c r="R15" i="8"/>
  <c r="R14" i="8"/>
  <c r="R13" i="8"/>
  <c r="R12" i="8"/>
  <c r="R11" i="8"/>
  <c r="R9" i="8"/>
  <c r="R8" i="8"/>
  <c r="M8" i="8"/>
  <c r="M9" i="8"/>
  <c r="M11" i="8"/>
  <c r="M12" i="8"/>
  <c r="M13" i="8"/>
  <c r="M14" i="8"/>
  <c r="M15" i="8"/>
  <c r="M17" i="8"/>
  <c r="M18" i="8"/>
  <c r="M20" i="8"/>
  <c r="M21" i="8"/>
  <c r="M22" i="8"/>
  <c r="M23" i="8"/>
  <c r="M25" i="8"/>
  <c r="M26" i="8"/>
  <c r="M27" i="8"/>
  <c r="M28" i="8"/>
  <c r="T10" i="8"/>
  <c r="U10" i="8"/>
  <c r="V10" i="8" s="1"/>
  <c r="T16" i="8"/>
  <c r="U16" i="8"/>
  <c r="V16" i="8" s="1"/>
  <c r="T24" i="8"/>
  <c r="U24" i="8"/>
  <c r="V24" i="8" s="1"/>
  <c r="Q24" i="8"/>
  <c r="R24" i="8" s="1"/>
  <c r="Q16" i="8"/>
  <c r="R16" i="8" s="1"/>
  <c r="Q10" i="8"/>
  <c r="Z28" i="8"/>
  <c r="Y28" i="8"/>
  <c r="O28" i="8"/>
  <c r="J28" i="8"/>
  <c r="G28" i="8"/>
  <c r="F28" i="8"/>
  <c r="Z27" i="8"/>
  <c r="Y27" i="8"/>
  <c r="O27" i="8"/>
  <c r="J27" i="8"/>
  <c r="G27" i="8"/>
  <c r="F27" i="8"/>
  <c r="Z26" i="8"/>
  <c r="Y26" i="8"/>
  <c r="O26" i="8"/>
  <c r="J26" i="8"/>
  <c r="G26" i="8"/>
  <c r="F26" i="8"/>
  <c r="Z25" i="8"/>
  <c r="Y25" i="8"/>
  <c r="O25" i="8"/>
  <c r="J25" i="8"/>
  <c r="G25" i="8"/>
  <c r="F25" i="8"/>
  <c r="S24" i="8"/>
  <c r="P24" i="8"/>
  <c r="N24" i="8"/>
  <c r="K24" i="8"/>
  <c r="I24" i="8"/>
  <c r="M24" i="8" s="1"/>
  <c r="H24" i="8"/>
  <c r="E24" i="8"/>
  <c r="D24" i="8"/>
  <c r="C24" i="8"/>
  <c r="B24" i="8"/>
  <c r="Z23" i="8"/>
  <c r="Y23" i="8"/>
  <c r="O23" i="8"/>
  <c r="J23" i="8"/>
  <c r="G23" i="8"/>
  <c r="F23" i="8"/>
  <c r="Z22" i="8"/>
  <c r="Y22" i="8"/>
  <c r="O22" i="8"/>
  <c r="J22" i="8"/>
  <c r="G22" i="8"/>
  <c r="F22" i="8"/>
  <c r="Z21" i="8"/>
  <c r="Y21" i="8"/>
  <c r="O21" i="8"/>
  <c r="J21" i="8"/>
  <c r="G21" i="8"/>
  <c r="F21" i="8"/>
  <c r="Z20" i="8"/>
  <c r="Y20" i="8"/>
  <c r="O20" i="8"/>
  <c r="J20" i="8"/>
  <c r="G20" i="8"/>
  <c r="O19" i="8"/>
  <c r="I19" i="8"/>
  <c r="Z19" i="8" s="1"/>
  <c r="G19" i="8"/>
  <c r="F19" i="8"/>
  <c r="O18" i="8"/>
  <c r="Z18" i="8"/>
  <c r="G18" i="8"/>
  <c r="F18" i="8"/>
  <c r="Z17" i="8"/>
  <c r="Y17" i="8"/>
  <c r="O17" i="8"/>
  <c r="J17" i="8"/>
  <c r="G17" i="8"/>
  <c r="F17" i="8"/>
  <c r="S16" i="8"/>
  <c r="P16" i="8"/>
  <c r="N16" i="8"/>
  <c r="K16" i="8"/>
  <c r="I16" i="8"/>
  <c r="H16" i="8"/>
  <c r="E16" i="8"/>
  <c r="Z16" i="8" s="1"/>
  <c r="D16" i="8"/>
  <c r="C16" i="8"/>
  <c r="B16" i="8"/>
  <c r="Z15" i="8"/>
  <c r="Y15" i="8"/>
  <c r="O15" i="8"/>
  <c r="J15" i="8"/>
  <c r="G15" i="8"/>
  <c r="F15" i="8"/>
  <c r="Z14" i="8"/>
  <c r="Y14" i="8"/>
  <c r="O14" i="8"/>
  <c r="J14" i="8"/>
  <c r="G14" i="8"/>
  <c r="F14" i="8"/>
  <c r="Z13" i="8"/>
  <c r="Y13" i="8"/>
  <c r="O13" i="8"/>
  <c r="J13" i="8"/>
  <c r="G13" i="8"/>
  <c r="F13" i="8"/>
  <c r="Z12" i="8"/>
  <c r="Y12" i="8"/>
  <c r="O12" i="8"/>
  <c r="J12" i="8"/>
  <c r="G12" i="8"/>
  <c r="F12" i="8"/>
  <c r="Z11" i="8"/>
  <c r="Y11" i="8"/>
  <c r="O11" i="8"/>
  <c r="J11" i="8"/>
  <c r="G11" i="8"/>
  <c r="F11" i="8"/>
  <c r="S10" i="8"/>
  <c r="P10" i="8"/>
  <c r="N10" i="8"/>
  <c r="K10" i="8"/>
  <c r="I10" i="8"/>
  <c r="Y10" i="8" s="1"/>
  <c r="H10" i="8"/>
  <c r="H7" i="8" s="1"/>
  <c r="H29" i="8" s="1"/>
  <c r="E10" i="8"/>
  <c r="D10" i="8"/>
  <c r="C10" i="8"/>
  <c r="C7" i="8" s="1"/>
  <c r="C29" i="8" s="1"/>
  <c r="B10" i="8"/>
  <c r="O9" i="8"/>
  <c r="J9" i="8"/>
  <c r="Z8" i="8"/>
  <c r="Y8" i="8"/>
  <c r="O8" i="8"/>
  <c r="J8" i="8"/>
  <c r="G8" i="8"/>
  <c r="F8" i="8"/>
  <c r="P7" i="8"/>
  <c r="P29" i="8" s="1"/>
  <c r="K7" i="8"/>
  <c r="K29" i="8" s="1"/>
  <c r="J24" i="8" l="1"/>
  <c r="Q7" i="8"/>
  <c r="B7" i="8"/>
  <c r="B29" i="8" s="1"/>
  <c r="M19" i="8"/>
  <c r="R10" i="8"/>
  <c r="J16" i="8"/>
  <c r="N7" i="8"/>
  <c r="U7" i="8"/>
  <c r="M16" i="8"/>
  <c r="M10" i="8"/>
  <c r="O16" i="8"/>
  <c r="T7" i="8"/>
  <c r="T29" i="8" s="1"/>
  <c r="J10" i="8"/>
  <c r="F16" i="8"/>
  <c r="E7" i="8"/>
  <c r="G7" i="8" s="1"/>
  <c r="G16" i="8"/>
  <c r="G24" i="8"/>
  <c r="Z24" i="8"/>
  <c r="I7" i="8"/>
  <c r="I29" i="8" s="1"/>
  <c r="M29" i="8" s="1"/>
  <c r="Y16" i="8"/>
  <c r="F24" i="8"/>
  <c r="F10" i="8"/>
  <c r="Z10" i="8"/>
  <c r="O10" i="8"/>
  <c r="O7" i="8"/>
  <c r="N29" i="8"/>
  <c r="O29" i="8" s="1"/>
  <c r="G10" i="8"/>
  <c r="S7" i="8"/>
  <c r="Y18" i="8"/>
  <c r="Y19" i="8"/>
  <c r="O24" i="8"/>
  <c r="Y24" i="8"/>
  <c r="D7" i="8"/>
  <c r="J18" i="8"/>
  <c r="J19" i="8"/>
  <c r="U29" i="8" l="1"/>
  <c r="V29" i="8" s="1"/>
  <c r="V7" i="8"/>
  <c r="Q29" i="8"/>
  <c r="R29" i="8" s="1"/>
  <c r="R7" i="8"/>
  <c r="M7" i="8"/>
  <c r="J7" i="8"/>
  <c r="E29" i="8"/>
  <c r="G29" i="8" s="1"/>
  <c r="Z7" i="8"/>
  <c r="Z29" i="8"/>
  <c r="J29" i="8"/>
  <c r="S29" i="8"/>
  <c r="F7" i="8"/>
  <c r="D29" i="8"/>
  <c r="F29" i="8" s="1"/>
  <c r="Y7" i="8"/>
  <c r="I19" i="7"/>
  <c r="I18" i="7"/>
  <c r="J18" i="7" s="1"/>
  <c r="P8" i="7"/>
  <c r="P9" i="7"/>
  <c r="P11" i="7"/>
  <c r="P12" i="7"/>
  <c r="P13" i="7"/>
  <c r="P14" i="7"/>
  <c r="P15" i="7"/>
  <c r="P17" i="7"/>
  <c r="P18" i="7"/>
  <c r="P19" i="7"/>
  <c r="P20" i="7"/>
  <c r="P21" i="7"/>
  <c r="P22" i="7"/>
  <c r="P23" i="7"/>
  <c r="P25" i="7"/>
  <c r="P26" i="7"/>
  <c r="P27" i="7"/>
  <c r="P28" i="7"/>
  <c r="M8" i="7"/>
  <c r="M9" i="7"/>
  <c r="M11" i="7"/>
  <c r="M12" i="7"/>
  <c r="M13" i="7"/>
  <c r="M14" i="7"/>
  <c r="M15" i="7"/>
  <c r="M17" i="7"/>
  <c r="M18" i="7"/>
  <c r="M19" i="7"/>
  <c r="M20" i="7"/>
  <c r="M21" i="7"/>
  <c r="M22" i="7"/>
  <c r="M23" i="7"/>
  <c r="M25" i="7"/>
  <c r="M26" i="7"/>
  <c r="M27" i="7"/>
  <c r="M28" i="7"/>
  <c r="J8" i="7"/>
  <c r="J9" i="7"/>
  <c r="J11" i="7"/>
  <c r="J12" i="7"/>
  <c r="J13" i="7"/>
  <c r="J14" i="7"/>
  <c r="J15" i="7"/>
  <c r="J17" i="7"/>
  <c r="J19" i="7"/>
  <c r="J20" i="7"/>
  <c r="J21" i="7"/>
  <c r="J22" i="7"/>
  <c r="J23" i="7"/>
  <c r="J25" i="7"/>
  <c r="J26" i="7"/>
  <c r="J27" i="7"/>
  <c r="J28" i="7"/>
  <c r="N24" i="7"/>
  <c r="N16" i="7"/>
  <c r="N10" i="7"/>
  <c r="N7" i="7"/>
  <c r="N29" i="7" s="1"/>
  <c r="K24" i="7"/>
  <c r="K16" i="7"/>
  <c r="K10" i="7"/>
  <c r="K7" i="7"/>
  <c r="K29" i="7" s="1"/>
  <c r="H24" i="7"/>
  <c r="H16" i="7"/>
  <c r="H10" i="7"/>
  <c r="H7" i="7"/>
  <c r="H29" i="7" s="1"/>
  <c r="Y29" i="8" l="1"/>
  <c r="T12" i="7" l="1"/>
  <c r="T8" i="7"/>
  <c r="T11" i="7"/>
  <c r="T13" i="7"/>
  <c r="T14" i="7"/>
  <c r="T15" i="7"/>
  <c r="T17" i="7"/>
  <c r="T18" i="7"/>
  <c r="T19" i="7"/>
  <c r="T20" i="7"/>
  <c r="T21" i="7"/>
  <c r="T22" i="7"/>
  <c r="T23" i="7"/>
  <c r="T25" i="7"/>
  <c r="T26" i="7"/>
  <c r="T27" i="7"/>
  <c r="T28" i="7"/>
  <c r="S11" i="7"/>
  <c r="S12" i="7"/>
  <c r="S13" i="7"/>
  <c r="S14" i="7"/>
  <c r="S15" i="7"/>
  <c r="S17" i="7"/>
  <c r="S18" i="7"/>
  <c r="S19" i="7"/>
  <c r="S20" i="7"/>
  <c r="S21" i="7"/>
  <c r="S22" i="7"/>
  <c r="S23" i="7"/>
  <c r="S25" i="7"/>
  <c r="S26" i="7"/>
  <c r="S27" i="7"/>
  <c r="S28" i="7"/>
  <c r="S8" i="7"/>
  <c r="G28" i="7"/>
  <c r="G11" i="7" l="1"/>
  <c r="G12" i="7"/>
  <c r="G13" i="7"/>
  <c r="G14" i="7"/>
  <c r="G15" i="7"/>
  <c r="G17" i="7"/>
  <c r="G18" i="7"/>
  <c r="G19" i="7"/>
  <c r="G20" i="7"/>
  <c r="G21" i="7"/>
  <c r="G22" i="7"/>
  <c r="G23" i="7"/>
  <c r="G25" i="7"/>
  <c r="G26" i="7"/>
  <c r="G27" i="7"/>
  <c r="F8" i="7"/>
  <c r="G8" i="7"/>
  <c r="F11" i="7"/>
  <c r="F12" i="7"/>
  <c r="F13" i="7"/>
  <c r="F14" i="7"/>
  <c r="F15" i="7"/>
  <c r="F17" i="7"/>
  <c r="F18" i="7"/>
  <c r="F19" i="7"/>
  <c r="F21" i="7"/>
  <c r="F22" i="7"/>
  <c r="F23" i="7"/>
  <c r="F25" i="7"/>
  <c r="F26" i="7"/>
  <c r="F27" i="7"/>
  <c r="F28" i="7"/>
  <c r="O24" i="7" l="1"/>
  <c r="P24" i="7" s="1"/>
  <c r="L24" i="7"/>
  <c r="M24" i="7" s="1"/>
  <c r="I24" i="7"/>
  <c r="J24" i="7" s="1"/>
  <c r="E24" i="7"/>
  <c r="D24" i="7"/>
  <c r="C24" i="7"/>
  <c r="B24" i="7"/>
  <c r="O16" i="7"/>
  <c r="P16" i="7" s="1"/>
  <c r="L16" i="7"/>
  <c r="M16" i="7" s="1"/>
  <c r="I16" i="7"/>
  <c r="J16" i="7" s="1"/>
  <c r="E16" i="7"/>
  <c r="D16" i="7"/>
  <c r="C16" i="7"/>
  <c r="B16" i="7"/>
  <c r="O10" i="7"/>
  <c r="P10" i="7" s="1"/>
  <c r="L10" i="7"/>
  <c r="M10" i="7" s="1"/>
  <c r="I10" i="7"/>
  <c r="J10" i="7" s="1"/>
  <c r="E10" i="7"/>
  <c r="D10" i="7"/>
  <c r="C10" i="7"/>
  <c r="B10" i="7"/>
  <c r="T24" i="7" l="1"/>
  <c r="S24" i="7"/>
  <c r="G16" i="7"/>
  <c r="B7" i="7"/>
  <c r="B29" i="7" s="1"/>
  <c r="S16" i="7"/>
  <c r="T16" i="7"/>
  <c r="T10" i="7"/>
  <c r="S10" i="7"/>
  <c r="I7" i="7"/>
  <c r="J7" i="7" s="1"/>
  <c r="L7" i="7"/>
  <c r="O7" i="7"/>
  <c r="F10" i="7"/>
  <c r="G10" i="7"/>
  <c r="G24" i="7"/>
  <c r="F24" i="7"/>
  <c r="C7" i="7"/>
  <c r="C29" i="7" s="1"/>
  <c r="F16" i="7"/>
  <c r="D7" i="7"/>
  <c r="D29" i="7" s="1"/>
  <c r="E7" i="7"/>
  <c r="P7" i="7" l="1"/>
  <c r="O29" i="7"/>
  <c r="P29" i="7" s="1"/>
  <c r="L29" i="7"/>
  <c r="M29" i="7" s="1"/>
  <c r="M7" i="7"/>
  <c r="I29" i="7"/>
  <c r="J29" i="7" s="1"/>
  <c r="T7" i="7"/>
  <c r="S7" i="7"/>
  <c r="F7" i="7"/>
  <c r="G7" i="7"/>
  <c r="E29" i="7"/>
  <c r="G29" i="7" l="1"/>
  <c r="T29" i="7"/>
  <c r="S29" i="7"/>
  <c r="F29" i="7"/>
</calcChain>
</file>

<file path=xl/sharedStrings.xml><?xml version="1.0" encoding="utf-8"?>
<sst xmlns="http://schemas.openxmlformats.org/spreadsheetml/2006/main" count="470" uniqueCount="207">
  <si>
    <t xml:space="preserve">Наименование показателя </t>
  </si>
  <si>
    <t xml:space="preserve">Изменение плановых назначений </t>
  </si>
  <si>
    <t>1</t>
  </si>
  <si>
    <t>2</t>
  </si>
  <si>
    <t>3</t>
  </si>
  <si>
    <t>4</t>
  </si>
  <si>
    <t>5</t>
  </si>
  <si>
    <t>6</t>
  </si>
  <si>
    <t xml:space="preserve">  НАЛОГОВЫЕ И НЕНАЛОГОВЫЕ ДОХОДЫ</t>
  </si>
  <si>
    <t xml:space="preserve">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</si>
  <si>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</si>
  <si>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 Налог, взимаемый в связи с применением патентной системы налогообложения</t>
  </si>
  <si>
    <t xml:space="preserve">  ГОСУДАРСТВЕННАЯ ПОШЛИНА</t>
  </si>
  <si>
    <t xml:space="preserve">  ЗАДОЛЖЕННОСТЬ И ПЕРЕРАСЧЕТЫ ПО ОТМЕНЕННЫМ НАЛОГАМ, СБОРАМ И ИНЫМ ОБЯЗАТЕЛЬНЫМ ПЛАТЕЖАМ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</si>
  <si>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</si>
  <si>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Проценты, полученные от предоставления бюджетных кредитов внутри страны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</si>
  <si>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</si>
  <si>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</si>
  <si>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Доходы от перечисления части прибыли государственных и муниципальных унитарных предприятий, остающейся после уплаты налогов и обязательных платежей         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</si>
  <si>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</si>
  <si>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ПЛАТА ЗА НЕГАТИВНОЕ ВОЗДЕЙСТВИЕ НА ОКРУЖАЮЩУЮ СРЕДУ </t>
  </si>
  <si>
    <t xml:space="preserve">  ДОХОДЫ ОТ ОКАЗАНИЯ ПЛАТНЫХ УСЛУГ (РАБОТ) И КОМПЕНСАЦИИ ЗАТРАТ ГОСУДАРСТВА</t>
  </si>
  <si>
    <t xml:space="preserve">  ДОХОДЫ ОТ ПРОДАЖИ МАТЕРИАЛЬНЫХ И НЕМАТЕРИАЛЬНЫХ АКТИВОВ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</si>
  <si>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</si>
  <si>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</si>
  <si>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ШТРАФЫ, САНКЦИИ, ВОЗМЕЩЕНИЕ УЩЕРБА</t>
  </si>
  <si>
    <t xml:space="preserve">  ПРОЧИЕ НЕНАЛОГОВЫЕ ДОХОДЫ</t>
  </si>
  <si>
    <t>План на 2018 год</t>
  </si>
  <si>
    <t>ВСЕГО</t>
  </si>
  <si>
    <t>7</t>
  </si>
  <si>
    <t>8</t>
  </si>
  <si>
    <t>9</t>
  </si>
  <si>
    <t>10</t>
  </si>
  <si>
    <t>11</t>
  </si>
  <si>
    <t>Исполнено за 2018 год</t>
  </si>
  <si>
    <t>План на 2019 год</t>
  </si>
  <si>
    <t>ПРОГНОЗ на 2020 год</t>
  </si>
  <si>
    <t xml:space="preserve">  НАЛОГИ НА СОВОКУПНЫЙ ДОХОД</t>
  </si>
  <si>
    <t xml:space="preserve">  НАЛОГ НА ДОХОДЫ ФИЗИЧЕСКИХ ЛИЦ</t>
  </si>
  <si>
    <t>на уровне 2019 года</t>
  </si>
  <si>
    <t>Заявка ОАиУЗР</t>
  </si>
  <si>
    <t>Заявка ОЭ</t>
  </si>
  <si>
    <t>12</t>
  </si>
  <si>
    <t>13</t>
  </si>
  <si>
    <t>ПРОГНОЗ на 2021 год</t>
  </si>
  <si>
    <t>ПРОГНОЗ на 2022 год</t>
  </si>
  <si>
    <t>___________________</t>
  </si>
  <si>
    <t>Руководитель</t>
  </si>
  <si>
    <t>Исполнитель</t>
  </si>
  <si>
    <t>тел. 8(900)464-27-81</t>
  </si>
  <si>
    <t>Прогноз поступления доходов в бюджет Прионежского муниципального района на очередной финансовый 2020 год и плановый период 2021-2022 г.</t>
  </si>
  <si>
    <t>Исполнено за 2019 год</t>
  </si>
  <si>
    <t xml:space="preserve">% исполнения за 2019 год к плану 2019 года  </t>
  </si>
  <si>
    <t>% темпа роста 2019 года к 2018 году  (в сопоставимых нормативах-НДФЛ)</t>
  </si>
  <si>
    <t>НАЛОГИ НА ТОВАРЫ (РАБОТЫ, УСЛУГИ), РЕАЛИЗУЕМЫЕ НА ТЕРРИТОРИИ РОССИЙСКОЙ ФЕДЕРАЦИИ</t>
  </si>
  <si>
    <t>Прогноз УФК</t>
  </si>
  <si>
    <t>рост ФОТ, прогнозируемый Минэк 106,9%, 223615,24*106,9= 239044,69</t>
  </si>
  <si>
    <t>В связи с изм-ми з/д-ва в области штрафов, мун р-ну передается 5% от мировых судей (60%)</t>
  </si>
  <si>
    <t>10411,34-7647,81=2763,53, 7647,81-2763,53=4884,28</t>
  </si>
  <si>
    <t>Метод усреднения: (446,9+403,7+609,3)/3=486,6</t>
  </si>
  <si>
    <t>Средний темп роста: 2016-2017 1,42; 2017-2018 0,9; 2018-2019 1,5: (1,42+0,9+1,5)/3=773,8</t>
  </si>
  <si>
    <t>Метод усреднения: (1587,00+1298,72+1156,58)/3=1347,43</t>
  </si>
  <si>
    <t>Прогноз СЭР на 2020-2022 гг (постановление АПМР №1001 23.10.2019), соц. найм</t>
  </si>
  <si>
    <t>Метод усреднения: (6,8+6,8+3,6)/3=5,7</t>
  </si>
  <si>
    <t>Метод усреднения: (223,50+249,29+496,65)/3=323,14</t>
  </si>
  <si>
    <t>Сумма % по кредитам, предоставленным с/п, подлежащих уплате в текущем финансовом году</t>
  </si>
  <si>
    <t>Гарнизон 15,62; Деревянное 16,16; Заозерье 12,15; Ладва-Ветка 13,58; Рыбрека 19,49; Шокша 23,81</t>
  </si>
  <si>
    <t>2017-2018 уменьшение на 6%, 2018-2019 уменьшение на 27%, ст. 5 п.8 №97-ФЗ 29.06.2012</t>
  </si>
  <si>
    <t>Расчет Отдела образования, ЦБ №1</t>
  </si>
  <si>
    <t>ЕСХН=Факт 2019 года*Индекс потребительских цен в 2020 году*Норматив зачисления в бюджет</t>
  </si>
  <si>
    <t>59,64*100,7%*70%=70,97</t>
  </si>
  <si>
    <t>ПРОГНОЗ на 2020 год ПЕРВОНАЧАЛЬНЫЙ</t>
  </si>
  <si>
    <t>РАЗНИЦА</t>
  </si>
  <si>
    <t>ПРОГНОЗ на 2022 год ПЕРВОНАЧАЛЬНЫЙ</t>
  </si>
  <si>
    <t>ПРОГНОЗ на 2021 год ПЕРВОНАЧАЛЬНЫЙ</t>
  </si>
  <si>
    <t>14</t>
  </si>
  <si>
    <t>15</t>
  </si>
  <si>
    <t>16</t>
  </si>
  <si>
    <t>17</t>
  </si>
  <si>
    <t>Прогноз Росприроднадзора</t>
  </si>
  <si>
    <t>Заявка ОАиУЗР + некассовые 2970</t>
  </si>
  <si>
    <t>Заявка ОЭ + некассовые 30</t>
  </si>
  <si>
    <t>ИТОГО</t>
  </si>
  <si>
    <t>ПРОГНОЗ на 2020 год 30.04.2020</t>
  </si>
  <si>
    <t>ПРОГНОЗ на 2021 год 30.04.2020</t>
  </si>
  <si>
    <t>18</t>
  </si>
  <si>
    <t>19</t>
  </si>
  <si>
    <t>20</t>
  </si>
  <si>
    <t>21</t>
  </si>
  <si>
    <t>22</t>
  </si>
  <si>
    <t>ПРОГНОЗ на 2022 год 30.04.2020</t>
  </si>
  <si>
    <t>ПРОГНОЗ на 2020 год 23.06.2020</t>
  </si>
  <si>
    <t>ПРОГНОЗ на 2021 год 23.06.2020</t>
  </si>
  <si>
    <t>ПРОГНОЗ на 2022 год 23.06.2020</t>
  </si>
  <si>
    <t>ПРОГНОЗ на 2020 год 27.07.2020</t>
  </si>
  <si>
    <t>ПРОГНОЗ на 2022 год 27.07.2020</t>
  </si>
  <si>
    <t>План на 2020 год</t>
  </si>
  <si>
    <t>ПРОГНОЗ на 2023 год</t>
  </si>
  <si>
    <t xml:space="preserve">  НАЛОГИ НА ТОВАРЫ (РАБОТЫ, УСЛУГИ), РЕАЛИЗУЕМЫЕ НА ТЕРРИТОРИИ РОССИЙСКОЙ ФЕДЕРАЦИИ</t>
  </si>
  <si>
    <t xml:space="preserve">  ПЛАТА ЗА НЕГАТИВНОЕ ВОЗДЕЙСТВИЕ НА ОКРУЖАЮЩУЮ СРЕДУ </t>
  </si>
  <si>
    <t xml:space="preserve">  Единый налог на вмененный доход для отдельных видов деятельности</t>
  </si>
  <si>
    <t>Прогноз поступления доходов в бюджет Прионежского муниципального района на очередной финансовый 2022 год и плановый период 2023-2024 г.</t>
  </si>
  <si>
    <t>Исполнено за 9 месяцев 2020 года</t>
  </si>
  <si>
    <t>Исполнено за 2020 год</t>
  </si>
  <si>
    <t xml:space="preserve">% исполнения за 9 месяцев 2021 года к плану 2021 года  </t>
  </si>
  <si>
    <t>% темпа роста 9 мес.2021 года к 9 мес. 2020 года  (в сопоставимых нормативах-НДФЛ)</t>
  </si>
  <si>
    <t xml:space="preserve"> Уточненный ПЛАН 2021 год (в Совет)</t>
  </si>
  <si>
    <t>ПРОГНОЗ на 2024 год</t>
  </si>
  <si>
    <t>Примечание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</si>
  <si>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</si>
  <si>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 xml:space="preserve">  Государственная пошлина по делам, рассматриваемым в судах общей юрисдикции, мировыми судьями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</si>
  <si>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</si>
  <si>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 Прочие доходы от компенсации затрат государства</t>
  </si>
  <si>
    <t>КОД ЦЕЛИ 1000</t>
  </si>
  <si>
    <t>КОД ЦЕЛИ 9000</t>
  </si>
  <si>
    <t xml:space="preserve">  Доходы, поступающие в порядке возмещения расходов, понесенных в связи с эксплуатацией имущества</t>
  </si>
  <si>
    <t>ОАиУЗР</t>
  </si>
  <si>
    <t>ОЭ</t>
  </si>
  <si>
    <t>ФУ</t>
  </si>
  <si>
    <t>ЖКХ</t>
  </si>
  <si>
    <t>КДН</t>
  </si>
  <si>
    <t>Справочно (штрафы):</t>
  </si>
  <si>
    <t>АК</t>
  </si>
  <si>
    <t>МВД</t>
  </si>
  <si>
    <t>Мин. юстиции</t>
  </si>
  <si>
    <t>Адм-р</t>
  </si>
  <si>
    <t>Мин. природных рес-в и экологии</t>
  </si>
  <si>
    <t>СЗ тер-ое упр-ие Фед-ого агентства по рыболовству</t>
  </si>
  <si>
    <t>Упр-ие Росреестра по РК</t>
  </si>
  <si>
    <t xml:space="preserve">  Доходы от оказания информационных услуг (КОД ЦЕЛИ 8000)</t>
  </si>
  <si>
    <t xml:space="preserve">  Прочие доходы от оказания платных услуг (работ) (КОД ЦЕЛИ 8000)</t>
  </si>
  <si>
    <t>КОД ЦЕЛИ 8000</t>
  </si>
  <si>
    <t xml:space="preserve">  БЕЗВОЗМЕЗДНЫЕ ПОСТУПЛЕНИЯ</t>
  </si>
  <si>
    <t>План на 2021 год (на 01.09.2021)</t>
  </si>
  <si>
    <t>Исполнено за 9 месяцев 2021 года (на 01.09.2021)</t>
  </si>
  <si>
    <t>Код цели</t>
  </si>
  <si>
    <t>Балт-Арктич-ое межрег-ое упр-ие Росприроднадзора</t>
  </si>
  <si>
    <t>ППМИ</t>
  </si>
  <si>
    <t>некассовые (среднее значение за 3 года)</t>
  </si>
  <si>
    <t xml:space="preserve">  Невыясненные поступления</t>
  </si>
  <si>
    <t xml:space="preserve">  Прочие неналоговые доходы</t>
  </si>
  <si>
    <t>Среднее значение за 3 года</t>
  </si>
  <si>
    <t>год</t>
  </si>
  <si>
    <t>Сред. Знач.</t>
  </si>
  <si>
    <t>Гос. пошлина</t>
  </si>
  <si>
    <t>Ар. земли 9000</t>
  </si>
  <si>
    <t>Ар. имущ. 9000</t>
  </si>
  <si>
    <t>ЕСХН</t>
  </si>
  <si>
    <t>Отмена ЕНВД с 2021 года</t>
  </si>
  <si>
    <t>ЦБ, РЦК</t>
  </si>
  <si>
    <t>Исполнено за 8 месяцев 2020 года</t>
  </si>
  <si>
    <t xml:space="preserve">План на 2021 год </t>
  </si>
  <si>
    <t xml:space="preserve">Исполнено за 8 месяцев 2021 года </t>
  </si>
  <si>
    <t xml:space="preserve">% исполнения за 8 месяцев 2021 года к плану 2021 года  </t>
  </si>
  <si>
    <t>% темпа роста 8 мес.2021 года к 8 мес. 2020 года  (в сопоставимых нормативах-НДФЛ)</t>
  </si>
  <si>
    <t>Прогноз СЭР РК (Мин. экон. разв. и промыш-ти РК)</t>
  </si>
  <si>
    <t>НДФЛ</t>
  </si>
  <si>
    <t>2022 год</t>
  </si>
  <si>
    <t>2023 год</t>
  </si>
  <si>
    <t>2024 год</t>
  </si>
  <si>
    <t>План/прогноз</t>
  </si>
  <si>
    <t>Темп роста ФОТ</t>
  </si>
  <si>
    <t>Итого</t>
  </si>
  <si>
    <t>УФК (прогноз будет в октябре)</t>
  </si>
  <si>
    <t>на уровне 2020 года</t>
  </si>
  <si>
    <r>
      <t xml:space="preserve">  ПРОЧИЕ БЕЗВОЗМЕЗДНЫЕ ПОСТУПЛЕНИЯ </t>
    </r>
    <r>
      <rPr>
        <i/>
        <sz val="9"/>
        <color rgb="FF000000"/>
        <rFont val="Times New Roman"/>
        <family val="1"/>
        <charset val="204"/>
      </rPr>
      <t>(КОД ЦЕЛИ 8000)</t>
    </r>
  </si>
  <si>
    <t xml:space="preserve"> Уточненный ПЛАН 2021 год</t>
  </si>
  <si>
    <t>Налоговая база</t>
  </si>
  <si>
    <t>Сумма убытка, уменьшающая налоговую базу</t>
  </si>
  <si>
    <t>Ставка налога</t>
  </si>
  <si>
    <t>Норматив отчисления</t>
  </si>
  <si>
    <t>ЕСХН=(Нб-Суб)*Ст*Н</t>
  </si>
  <si>
    <t>Патент</t>
  </si>
  <si>
    <t>Среднее значение</t>
  </si>
  <si>
    <t>Факт</t>
  </si>
  <si>
    <t>Темп роста</t>
  </si>
  <si>
    <t>Год</t>
  </si>
  <si>
    <t>Патент=Факт 2020г*Ср.Темп роста</t>
  </si>
  <si>
    <t>2021</t>
  </si>
  <si>
    <t>2022</t>
  </si>
  <si>
    <t xml:space="preserve">  НАЛОГИ НА ИМУЩЕСТВО</t>
  </si>
  <si>
    <t xml:space="preserve">  Налог на имущество физических лиц</t>
  </si>
  <si>
    <t xml:space="preserve">  Земельный налог с организаций</t>
  </si>
  <si>
    <t xml:space="preserve">  Земельный налог с физических лиц</t>
  </si>
  <si>
    <t xml:space="preserve">  Государственная пошлина за совершение нотариальных действий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</si>
  <si>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</si>
  <si>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Прогноз поступления доходов в бюджет Шокшинского вепсского сельского поселения на очередной финансовый 2025 год</t>
  </si>
  <si>
    <t xml:space="preserve"> Уточненный ПЛАН 2024 год</t>
  </si>
  <si>
    <t>ПРОГНОЗ на 2025 год</t>
  </si>
  <si>
    <t>План на 2023 год</t>
  </si>
  <si>
    <t>Исполнено за 9 месяцев 2023 года</t>
  </si>
  <si>
    <t>Исполнено за 2023 год</t>
  </si>
  <si>
    <t>План на 2024 год (сессия 26.09.2023)</t>
  </si>
  <si>
    <t xml:space="preserve">Исполнено за 9 месяцев 2024 года </t>
  </si>
  <si>
    <t xml:space="preserve">% исполнения за 9 месяцев 2024 года к плану 2024 года  </t>
  </si>
  <si>
    <t>% темпа роста 9 мес.2024 года к 9 мес. 2023 года  (в сопоставимых нормативах-НДФЛ)</t>
  </si>
  <si>
    <t>2023</t>
  </si>
  <si>
    <t>2025 год</t>
  </si>
  <si>
    <t>План на 2024 год (сессия 26.09.2024)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</si>
  <si>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</si>
  <si>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</si>
  <si>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прогноз СЭР</t>
  </si>
  <si>
    <t>5мн 67 000,00</t>
  </si>
  <si>
    <t>5мн 104 000,00</t>
  </si>
  <si>
    <t>5мн 147 000,00</t>
  </si>
  <si>
    <t xml:space="preserve">  Акцизы по подакцизным товарам (продукции), производимым на территории Российской Федерации</t>
  </si>
  <si>
    <t xml:space="preserve">  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</si>
</sst>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_р_._-;\-* #,##0_р_._-;_-* &quot;-&quot;_р_._-;_-@_-"/>
    <numFmt numFmtId="166" formatCode="_-* #,##0.00_р_._-;\-* #,##0.00_р_._-;_-* &quot;-&quot;??_р_._-;_-@_-"/>
  </numFmts>
  <fonts count="36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i/>
      <sz val="9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4" fillId="0" borderId="0"/>
    <xf numFmtId="0" fontId="6" fillId="0" borderId="0"/>
    <xf numFmtId="49" fontId="8" fillId="0" borderId="0"/>
    <xf numFmtId="49" fontId="8" fillId="0" borderId="1">
      <alignment horizontal="center" vertical="center" wrapText="1"/>
    </xf>
    <xf numFmtId="49" fontId="8" fillId="0" borderId="1">
      <alignment horizontal="center" vertical="center" wrapText="1"/>
    </xf>
    <xf numFmtId="0" fontId="4" fillId="0" borderId="2"/>
    <xf numFmtId="49" fontId="8" fillId="0" borderId="4">
      <alignment horizontal="center" vertical="center" wrapText="1"/>
    </xf>
    <xf numFmtId="0" fontId="8" fillId="0" borderId="5">
      <alignment horizontal="left" wrapText="1" indent="2"/>
    </xf>
    <xf numFmtId="4" fontId="8" fillId="0" borderId="1">
      <alignment horizontal="right"/>
    </xf>
    <xf numFmtId="0" fontId="4" fillId="0" borderId="7"/>
    <xf numFmtId="4" fontId="8" fillId="0" borderId="5">
      <alignment horizontal="right"/>
    </xf>
    <xf numFmtId="0" fontId="8" fillId="0" borderId="0"/>
    <xf numFmtId="0" fontId="8" fillId="2" borderId="8"/>
    <xf numFmtId="0" fontId="8" fillId="2" borderId="0"/>
    <xf numFmtId="0" fontId="1" fillId="0" borderId="0"/>
    <xf numFmtId="0" fontId="21" fillId="0" borderId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</cellStyleXfs>
  <cellXfs count="161">
    <xf numFmtId="0" fontId="0" fillId="0" borderId="0" xfId="0"/>
    <xf numFmtId="4" fontId="13" fillId="0" borderId="6" xfId="9" applyNumberFormat="1" applyFont="1" applyBorder="1" applyAlignment="1" applyProtection="1">
      <alignment horizontal="center" vertical="center"/>
    </xf>
    <xf numFmtId="164" fontId="13" fillId="0" borderId="6" xfId="9" applyNumberFormat="1" applyFont="1" applyBorder="1" applyAlignment="1" applyProtection="1">
      <alignment horizontal="center" vertical="center"/>
    </xf>
    <xf numFmtId="164" fontId="14" fillId="0" borderId="6" xfId="9" applyNumberFormat="1" applyFont="1" applyBorder="1" applyAlignment="1" applyProtection="1">
      <alignment horizontal="center" vertical="center"/>
    </xf>
    <xf numFmtId="4" fontId="14" fillId="0" borderId="6" xfId="9" applyNumberFormat="1" applyFont="1" applyBorder="1" applyAlignment="1" applyProtection="1">
      <alignment horizontal="center" vertical="center"/>
    </xf>
    <xf numFmtId="164" fontId="14" fillId="0" borderId="6" xfId="11" applyNumberFormat="1" applyFont="1" applyBorder="1" applyAlignment="1" applyProtection="1">
      <alignment horizontal="center" vertical="center"/>
    </xf>
    <xf numFmtId="4" fontId="14" fillId="3" borderId="6" xfId="9" applyNumberFormat="1" applyFont="1" applyFill="1" applyBorder="1" applyAlignment="1" applyProtection="1">
      <alignment horizontal="center" vertical="center"/>
    </xf>
    <xf numFmtId="49" fontId="11" fillId="3" borderId="1" xfId="5" applyNumberFormat="1" applyFont="1" applyFill="1" applyAlignment="1" applyProtection="1">
      <alignment horizontal="center" vertical="center" wrapText="1"/>
    </xf>
    <xf numFmtId="4" fontId="13" fillId="3" borderId="6" xfId="9" applyNumberFormat="1" applyFont="1" applyFill="1" applyBorder="1" applyAlignment="1" applyProtection="1">
      <alignment horizontal="center" vertical="center"/>
    </xf>
    <xf numFmtId="164" fontId="13" fillId="0" borderId="6" xfId="11" applyNumberFormat="1" applyFont="1" applyBorder="1" applyAlignment="1" applyProtection="1">
      <alignment horizontal="center" vertical="center"/>
    </xf>
    <xf numFmtId="49" fontId="11" fillId="5" borderId="1" xfId="5" applyNumberFormat="1" applyFont="1" applyFill="1" applyAlignment="1" applyProtection="1">
      <alignment horizontal="center" vertical="center" wrapText="1"/>
    </xf>
    <xf numFmtId="4" fontId="13" fillId="0" borderId="6" xfId="9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2" applyNumberFormat="1" applyFont="1" applyAlignment="1" applyProtection="1">
      <alignment vertical="center"/>
    </xf>
    <xf numFmtId="49" fontId="11" fillId="0" borderId="1" xfId="4" applyFont="1" applyBorder="1" applyAlignment="1" applyProtection="1">
      <alignment horizontal="center" vertical="center" wrapText="1"/>
      <protection locked="0"/>
    </xf>
    <xf numFmtId="49" fontId="11" fillId="0" borderId="3" xfId="5" applyNumberFormat="1" applyFont="1" applyBorder="1" applyAlignment="1" applyProtection="1">
      <alignment horizontal="center" vertical="center" wrapText="1"/>
    </xf>
    <xf numFmtId="0" fontId="12" fillId="0" borderId="6" xfId="8" applyNumberFormat="1" applyFont="1" applyBorder="1" applyAlignment="1" applyProtection="1">
      <alignment horizontal="left" vertical="center" wrapText="1"/>
    </xf>
    <xf numFmtId="0" fontId="11" fillId="0" borderId="6" xfId="8" applyNumberFormat="1" applyFont="1" applyBorder="1" applyAlignment="1" applyProtection="1">
      <alignment horizontal="left" vertical="center" wrapText="1"/>
    </xf>
    <xf numFmtId="0" fontId="15" fillId="0" borderId="6" xfId="8" applyNumberFormat="1" applyFont="1" applyBorder="1" applyAlignment="1" applyProtection="1">
      <alignment horizontal="center" vertical="center" wrapText="1"/>
    </xf>
    <xf numFmtId="49" fontId="11" fillId="6" borderId="1" xfId="5" applyNumberFormat="1" applyFont="1" applyFill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  <protection locked="0"/>
    </xf>
    <xf numFmtId="4" fontId="2" fillId="3" borderId="6" xfId="9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49" fontId="9" fillId="0" borderId="0" xfId="3" applyNumberFormat="1" applyFont="1" applyAlignment="1" applyProtection="1">
      <alignment vertical="center"/>
    </xf>
    <xf numFmtId="0" fontId="10" fillId="0" borderId="0" xfId="1" applyNumberFormat="1" applyFont="1" applyAlignment="1" applyProtection="1">
      <alignment vertical="center"/>
    </xf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16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5" fillId="0" borderId="0" xfId="1" applyNumberFormat="1" applyFont="1" applyAlignment="1" applyProtection="1">
      <alignment horizontal="center" vertical="center"/>
    </xf>
    <xf numFmtId="49" fontId="11" fillId="9" borderId="1" xfId="5" applyNumberFormat="1" applyFont="1" applyFill="1" applyAlignment="1" applyProtection="1">
      <alignment horizontal="center" vertical="center" wrapText="1"/>
    </xf>
    <xf numFmtId="10" fontId="0" fillId="0" borderId="0" xfId="0" applyNumberFormat="1" applyAlignment="1" applyProtection="1">
      <alignment vertical="center" wrapText="1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5" fillId="0" borderId="0" xfId="1" applyNumberFormat="1" applyFont="1" applyAlignment="1" applyProtection="1">
      <alignment horizontal="center" vertical="center"/>
    </xf>
    <xf numFmtId="0" fontId="24" fillId="0" borderId="0" xfId="1" applyNumberFormat="1" applyFont="1" applyAlignment="1" applyProtection="1">
      <alignment horizontal="center" vertical="center"/>
    </xf>
    <xf numFmtId="4" fontId="14" fillId="6" borderId="6" xfId="9" applyNumberFormat="1" applyFont="1" applyFill="1" applyBorder="1" applyAlignment="1" applyProtection="1">
      <alignment horizontal="center" vertical="center"/>
    </xf>
    <xf numFmtId="4" fontId="13" fillId="6" borderId="6" xfId="9" applyNumberFormat="1" applyFont="1" applyFill="1" applyBorder="1" applyAlignment="1" applyProtection="1">
      <alignment horizontal="center" vertical="center"/>
    </xf>
    <xf numFmtId="49" fontId="11" fillId="8" borderId="1" xfId="5" applyNumberFormat="1" applyFont="1" applyFill="1" applyAlignment="1" applyProtection="1">
      <alignment horizontal="center" vertical="center" wrapText="1"/>
    </xf>
    <xf numFmtId="4" fontId="13" fillId="8" borderId="6" xfId="9" applyNumberFormat="1" applyFont="1" applyFill="1" applyBorder="1" applyAlignment="1" applyProtection="1">
      <alignment horizontal="center" vertical="center"/>
    </xf>
    <xf numFmtId="4" fontId="2" fillId="6" borderId="6" xfId="9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5" fillId="0" borderId="0" xfId="1" applyNumberFormat="1" applyFont="1" applyFill="1" applyAlignment="1" applyProtection="1">
      <alignment horizontal="center" vertical="center"/>
    </xf>
    <xf numFmtId="0" fontId="10" fillId="0" borderId="0" xfId="1" applyNumberFormat="1" applyFont="1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0" fontId="24" fillId="0" borderId="0" xfId="1" applyNumberFormat="1" applyFont="1" applyFill="1" applyAlignment="1" applyProtection="1">
      <alignment horizontal="center" vertical="center"/>
    </xf>
    <xf numFmtId="4" fontId="2" fillId="0" borderId="6" xfId="9" applyNumberFormat="1" applyFont="1" applyFill="1" applyBorder="1" applyAlignment="1" applyProtection="1">
      <alignment horizontal="center" vertical="center"/>
    </xf>
    <xf numFmtId="4" fontId="14" fillId="0" borderId="6" xfId="9" applyNumberFormat="1" applyFont="1" applyFill="1" applyBorder="1" applyAlignment="1" applyProtection="1">
      <alignment horizontal="center" vertical="center"/>
    </xf>
    <xf numFmtId="4" fontId="2" fillId="8" borderId="6" xfId="9" applyNumberFormat="1" applyFont="1" applyFill="1" applyBorder="1" applyAlignment="1" applyProtection="1">
      <alignment horizontal="center" vertical="center"/>
    </xf>
    <xf numFmtId="4" fontId="14" fillId="8" borderId="6" xfId="9" applyNumberFormat="1" applyFont="1" applyFill="1" applyBorder="1" applyAlignment="1" applyProtection="1">
      <alignment horizontal="center" vertical="center"/>
    </xf>
    <xf numFmtId="49" fontId="10" fillId="5" borderId="1" xfId="5" applyNumberFormat="1" applyFont="1" applyFill="1" applyAlignment="1" applyProtection="1">
      <alignment horizontal="center" vertical="center" wrapText="1"/>
    </xf>
    <xf numFmtId="49" fontId="10" fillId="9" borderId="1" xfId="5" applyNumberFormat="1" applyFont="1" applyFill="1" applyAlignment="1" applyProtection="1">
      <alignment horizontal="center" vertical="center" wrapText="1"/>
    </xf>
    <xf numFmtId="49" fontId="10" fillId="6" borderId="1" xfId="5" applyNumberFormat="1" applyFont="1" applyFill="1" applyAlignment="1" applyProtection="1">
      <alignment horizontal="center" vertical="center" wrapText="1"/>
    </xf>
    <xf numFmtId="49" fontId="10" fillId="3" borderId="1" xfId="5" applyNumberFormat="1" applyFont="1" applyFill="1" applyAlignment="1" applyProtection="1">
      <alignment horizontal="center" vertical="center" wrapText="1"/>
    </xf>
    <xf numFmtId="49" fontId="10" fillId="0" borderId="1" xfId="5" applyNumberFormat="1" applyFont="1" applyFill="1" applyAlignment="1" applyProtection="1">
      <alignment horizontal="center" vertical="center" wrapText="1"/>
    </xf>
    <xf numFmtId="49" fontId="10" fillId="8" borderId="1" xfId="5" applyNumberFormat="1" applyFont="1" applyFill="1" applyAlignment="1" applyProtection="1">
      <alignment horizontal="center" vertical="center" wrapText="1"/>
    </xf>
    <xf numFmtId="0" fontId="5" fillId="0" borderId="0" xfId="1" applyNumberFormat="1" applyFont="1" applyAlignment="1" applyProtection="1">
      <alignment horizontal="center" vertical="center"/>
    </xf>
    <xf numFmtId="49" fontId="10" fillId="7" borderId="1" xfId="5" applyNumberFormat="1" applyFont="1" applyFill="1" applyAlignment="1" applyProtection="1">
      <alignment horizontal="center" vertical="center" wrapText="1"/>
    </xf>
    <xf numFmtId="4" fontId="13" fillId="7" borderId="6" xfId="9" applyNumberFormat="1" applyFont="1" applyFill="1" applyBorder="1" applyAlignment="1" applyProtection="1">
      <alignment horizontal="center" vertical="center"/>
    </xf>
    <xf numFmtId="4" fontId="2" fillId="7" borderId="6" xfId="9" applyNumberFormat="1" applyFont="1" applyFill="1" applyBorder="1" applyAlignment="1" applyProtection="1">
      <alignment horizontal="center" vertical="center"/>
    </xf>
    <xf numFmtId="4" fontId="14" fillId="7" borderId="6" xfId="9" applyNumberFormat="1" applyFont="1" applyFill="1" applyBorder="1" applyAlignment="1" applyProtection="1">
      <alignment horizontal="center" vertical="center"/>
    </xf>
    <xf numFmtId="49" fontId="11" fillId="0" borderId="3" xfId="5" applyNumberFormat="1" applyFont="1" applyFill="1" applyBorder="1" applyAlignment="1" applyProtection="1">
      <alignment horizontal="center" vertical="center" wrapText="1"/>
    </xf>
    <xf numFmtId="4" fontId="26" fillId="0" borderId="6" xfId="9" applyNumberFormat="1" applyFont="1" applyFill="1" applyBorder="1" applyAlignment="1" applyProtection="1">
      <alignment horizontal="center" vertical="center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49" fontId="11" fillId="0" borderId="11" xfId="5" applyNumberFormat="1" applyFont="1" applyBorder="1" applyAlignment="1" applyProtection="1">
      <alignment horizontal="center" vertical="center" wrapText="1"/>
    </xf>
    <xf numFmtId="4" fontId="13" fillId="0" borderId="12" xfId="9" applyNumberFormat="1" applyFont="1" applyFill="1" applyBorder="1" applyAlignment="1" applyProtection="1">
      <alignment horizontal="center" vertical="center"/>
    </xf>
    <xf numFmtId="4" fontId="2" fillId="0" borderId="12" xfId="9" applyNumberFormat="1" applyFont="1" applyFill="1" applyBorder="1" applyAlignment="1" applyProtection="1">
      <alignment horizontal="center" vertical="center"/>
    </xf>
    <xf numFmtId="4" fontId="14" fillId="0" borderId="12" xfId="9" applyNumberFormat="1" applyFont="1" applyFill="1" applyBorder="1" applyAlignment="1" applyProtection="1">
      <alignment horizontal="center" vertical="center"/>
    </xf>
    <xf numFmtId="4" fontId="2" fillId="10" borderId="6" xfId="9" applyNumberFormat="1" applyFont="1" applyFill="1" applyBorder="1" applyAlignment="1" applyProtection="1">
      <alignment horizontal="center" vertical="center"/>
    </xf>
    <xf numFmtId="4" fontId="13" fillId="0" borderId="6" xfId="9" applyNumberFormat="1" applyFont="1" applyFill="1" applyBorder="1" applyAlignment="1" applyProtection="1">
      <alignment horizontal="left" vertical="center" wrapText="1"/>
    </xf>
    <xf numFmtId="49" fontId="15" fillId="0" borderId="1" xfId="5" applyNumberFormat="1" applyFont="1" applyFill="1" applyAlignment="1" applyProtection="1">
      <alignment horizontal="center" vertical="center" wrapText="1"/>
    </xf>
    <xf numFmtId="4" fontId="27" fillId="0" borderId="6" xfId="9" applyNumberFormat="1" applyFont="1" applyFill="1" applyBorder="1" applyAlignment="1" applyProtection="1">
      <alignment horizontal="left" vertical="center" wrapText="1"/>
    </xf>
    <xf numFmtId="4" fontId="11" fillId="0" borderId="6" xfId="9" applyNumberFormat="1" applyFont="1" applyFill="1" applyBorder="1" applyAlignment="1" applyProtection="1">
      <alignment horizontal="left" vertical="center" wrapText="1"/>
    </xf>
    <xf numFmtId="49" fontId="15" fillId="0" borderId="1" xfId="4" applyFont="1" applyBorder="1" applyAlignment="1" applyProtection="1">
      <alignment horizontal="center" vertical="center" wrapText="1"/>
      <protection locked="0"/>
    </xf>
    <xf numFmtId="49" fontId="15" fillId="5" borderId="1" xfId="5" applyNumberFormat="1" applyFont="1" applyFill="1" applyAlignment="1" applyProtection="1">
      <alignment horizontal="center" vertical="center" wrapText="1"/>
    </xf>
    <xf numFmtId="49" fontId="15" fillId="8" borderId="1" xfId="5" applyNumberFormat="1" applyFont="1" applyFill="1" applyAlignment="1" applyProtection="1">
      <alignment horizontal="center" vertical="center" wrapText="1"/>
    </xf>
    <xf numFmtId="49" fontId="15" fillId="10" borderId="1" xfId="5" applyNumberFormat="1" applyFont="1" applyFill="1" applyAlignment="1" applyProtection="1">
      <alignment horizontal="center" vertical="center" wrapText="1"/>
    </xf>
    <xf numFmtId="49" fontId="15" fillId="3" borderId="1" xfId="5" applyNumberFormat="1" applyFont="1" applyFill="1" applyAlignment="1" applyProtection="1">
      <alignment horizontal="center" vertical="center" wrapText="1"/>
    </xf>
    <xf numFmtId="0" fontId="28" fillId="0" borderId="6" xfId="8" applyNumberFormat="1" applyFont="1" applyBorder="1" applyAlignment="1" applyProtection="1">
      <alignment horizontal="left" vertical="center" wrapText="1"/>
    </xf>
    <xf numFmtId="4" fontId="29" fillId="0" borderId="6" xfId="9" applyNumberFormat="1" applyFont="1" applyFill="1" applyBorder="1" applyAlignment="1" applyProtection="1">
      <alignment horizontal="center" vertical="center"/>
    </xf>
    <xf numFmtId="164" fontId="30" fillId="0" borderId="6" xfId="11" applyNumberFormat="1" applyFont="1" applyBorder="1" applyAlignment="1" applyProtection="1">
      <alignment horizontal="center" vertical="center"/>
    </xf>
    <xf numFmtId="164" fontId="30" fillId="0" borderId="6" xfId="9" applyNumberFormat="1" applyFont="1" applyBorder="1" applyAlignment="1" applyProtection="1">
      <alignment horizontal="center" vertical="center"/>
    </xf>
    <xf numFmtId="4" fontId="30" fillId="0" borderId="6" xfId="9" applyNumberFormat="1" applyFont="1" applyBorder="1" applyAlignment="1" applyProtection="1">
      <alignment horizontal="center" vertical="center"/>
    </xf>
    <xf numFmtId="4" fontId="29" fillId="10" borderId="6" xfId="9" applyNumberFormat="1" applyFont="1" applyFill="1" applyBorder="1" applyAlignment="1" applyProtection="1">
      <alignment horizontal="center" vertical="center"/>
    </xf>
    <xf numFmtId="4" fontId="12" fillId="0" borderId="6" xfId="9" applyNumberFormat="1" applyFont="1" applyFill="1" applyBorder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6" xfId="8" applyNumberFormat="1" applyFont="1" applyFill="1" applyBorder="1" applyAlignment="1" applyProtection="1">
      <alignment horizontal="left" vertical="center" wrapText="1"/>
    </xf>
    <xf numFmtId="0" fontId="11" fillId="0" borderId="6" xfId="8" applyNumberFormat="1" applyFont="1" applyFill="1" applyBorder="1" applyAlignment="1" applyProtection="1">
      <alignment horizontal="left" vertical="center" wrapText="1"/>
    </xf>
    <xf numFmtId="0" fontId="33" fillId="0" borderId="6" xfId="8" applyNumberFormat="1" applyFont="1" applyBorder="1" applyAlignment="1" applyProtection="1">
      <alignment horizontal="right" vertical="center" wrapText="1"/>
    </xf>
    <xf numFmtId="4" fontId="34" fillId="0" borderId="6" xfId="9" applyNumberFormat="1" applyFont="1" applyFill="1" applyBorder="1" applyAlignment="1" applyProtection="1">
      <alignment horizontal="center" vertical="center"/>
    </xf>
    <xf numFmtId="164" fontId="35" fillId="0" borderId="6" xfId="11" applyNumberFormat="1" applyFont="1" applyBorder="1" applyAlignment="1" applyProtection="1">
      <alignment horizontal="center" vertical="center"/>
    </xf>
    <xf numFmtId="164" fontId="35" fillId="0" borderId="6" xfId="9" applyNumberFormat="1" applyFont="1" applyBorder="1" applyAlignment="1" applyProtection="1">
      <alignment horizontal="center" vertical="center"/>
    </xf>
    <xf numFmtId="4" fontId="35" fillId="0" borderId="6" xfId="9" applyNumberFormat="1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4" fontId="18" fillId="0" borderId="6" xfId="0" applyNumberFormat="1" applyFont="1" applyBorder="1" applyAlignment="1" applyProtection="1">
      <alignment horizontal="center" vertical="center"/>
      <protection locked="0"/>
    </xf>
    <xf numFmtId="0" fontId="18" fillId="4" borderId="6" xfId="0" applyFont="1" applyFill="1" applyBorder="1" applyAlignment="1" applyProtection="1">
      <alignment vertical="center" wrapText="1"/>
      <protection locked="0"/>
    </xf>
    <xf numFmtId="0" fontId="19" fillId="0" borderId="6" xfId="0" applyFont="1" applyFill="1" applyBorder="1" applyAlignment="1" applyProtection="1">
      <alignment vertical="center" wrapText="1"/>
      <protection locked="0"/>
    </xf>
    <xf numFmtId="4" fontId="19" fillId="0" borderId="6" xfId="0" applyNumberFormat="1" applyFont="1" applyBorder="1" applyAlignment="1" applyProtection="1">
      <alignment horizontal="center" vertical="center"/>
      <protection locked="0"/>
    </xf>
    <xf numFmtId="0" fontId="12" fillId="11" borderId="6" xfId="8" applyNumberFormat="1" applyFont="1" applyFill="1" applyBorder="1" applyAlignment="1" applyProtection="1">
      <alignment horizontal="left" vertical="center" wrapText="1"/>
    </xf>
    <xf numFmtId="4" fontId="31" fillId="11" borderId="6" xfId="9" applyNumberFormat="1" applyFont="1" applyFill="1" applyBorder="1" applyAlignment="1" applyProtection="1">
      <alignment horizontal="center" vertical="center"/>
    </xf>
    <xf numFmtId="0" fontId="12" fillId="9" borderId="6" xfId="8" applyNumberFormat="1" applyFont="1" applyFill="1" applyBorder="1" applyAlignment="1" applyProtection="1">
      <alignment horizontal="left" vertical="center" wrapText="1"/>
    </xf>
    <xf numFmtId="4" fontId="13" fillId="9" borderId="6" xfId="9" applyNumberFormat="1" applyFont="1" applyFill="1" applyBorder="1" applyAlignment="1" applyProtection="1">
      <alignment horizontal="center" vertical="center"/>
    </xf>
    <xf numFmtId="164" fontId="13" fillId="9" borderId="6" xfId="9" applyNumberFormat="1" applyFont="1" applyFill="1" applyBorder="1" applyAlignment="1" applyProtection="1">
      <alignment horizontal="center" vertical="center"/>
    </xf>
    <xf numFmtId="4" fontId="31" fillId="9" borderId="6" xfId="9" applyNumberFormat="1" applyFont="1" applyFill="1" applyBorder="1" applyAlignment="1" applyProtection="1">
      <alignment horizontal="center" vertical="center"/>
    </xf>
    <xf numFmtId="164" fontId="12" fillId="11" borderId="6" xfId="11" applyNumberFormat="1" applyFont="1" applyFill="1" applyBorder="1" applyAlignment="1" applyProtection="1">
      <alignment horizontal="center" vertical="center"/>
    </xf>
    <xf numFmtId="164" fontId="12" fillId="11" borderId="6" xfId="9" applyNumberFormat="1" applyFont="1" applyFill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right" vertical="center" wrapText="1"/>
      <protection locked="0"/>
    </xf>
    <xf numFmtId="4" fontId="18" fillId="0" borderId="6" xfId="0" applyNumberFormat="1" applyFont="1" applyBorder="1" applyAlignment="1" applyProtection="1">
      <alignment horizontal="right" vertical="center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49" fontId="19" fillId="0" borderId="6" xfId="0" applyNumberFormat="1" applyFont="1" applyBorder="1" applyAlignment="1" applyProtection="1">
      <alignment vertical="center"/>
      <protection locked="0"/>
    </xf>
    <xf numFmtId="4" fontId="18" fillId="0" borderId="6" xfId="0" applyNumberFormat="1" applyFont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18" fillId="0" borderId="6" xfId="0" applyFont="1" applyFill="1" applyBorder="1" applyAlignment="1" applyProtection="1">
      <alignment vertical="center"/>
      <protection locked="0"/>
    </xf>
    <xf numFmtId="0" fontId="5" fillId="0" borderId="0" xfId="1" applyNumberFormat="1" applyFont="1" applyAlignment="1" applyProtection="1">
      <alignment horizontal="center" vertical="center"/>
    </xf>
    <xf numFmtId="0" fontId="19" fillId="0" borderId="1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vertical="center"/>
      <protection locked="0"/>
    </xf>
    <xf numFmtId="4" fontId="19" fillId="0" borderId="6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18" fillId="0" borderId="6" xfId="0" applyNumberFormat="1" applyFont="1" applyBorder="1" applyAlignment="1" applyProtection="1">
      <alignment vertical="center"/>
      <protection locked="0"/>
    </xf>
    <xf numFmtId="0" fontId="33" fillId="0" borderId="6" xfId="8" applyNumberFormat="1" applyFont="1" applyFill="1" applyBorder="1" applyAlignment="1" applyProtection="1">
      <alignment horizontal="right" vertical="center" wrapText="1"/>
    </xf>
    <xf numFmtId="164" fontId="35" fillId="0" borderId="6" xfId="9" applyNumberFormat="1" applyFont="1" applyFill="1" applyBorder="1" applyAlignment="1" applyProtection="1">
      <alignment horizontal="center" vertical="center"/>
    </xf>
    <xf numFmtId="4" fontId="35" fillId="0" borderId="6" xfId="9" applyNumberFormat="1" applyFont="1" applyFill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vertical="center"/>
      <protection locked="0"/>
    </xf>
    <xf numFmtId="4" fontId="34" fillId="10" borderId="6" xfId="9" applyNumberFormat="1" applyFont="1" applyFill="1" applyBorder="1" applyAlignment="1" applyProtection="1">
      <alignment horizontal="center" vertical="center"/>
    </xf>
    <xf numFmtId="4" fontId="27" fillId="4" borderId="6" xfId="9" applyNumberFormat="1" applyFont="1" applyFill="1" applyBorder="1" applyAlignment="1" applyProtection="1">
      <alignment horizontal="left" vertical="center" wrapText="1"/>
    </xf>
    <xf numFmtId="9" fontId="18" fillId="0" borderId="6" xfId="0" applyNumberFormat="1" applyFont="1" applyBorder="1" applyAlignment="1" applyProtection="1">
      <alignment vertical="center"/>
      <protection locked="0"/>
    </xf>
    <xf numFmtId="10" fontId="18" fillId="0" borderId="6" xfId="0" applyNumberFormat="1" applyFont="1" applyBorder="1" applyAlignment="1" applyProtection="1">
      <alignment vertical="center"/>
      <protection locked="0"/>
    </xf>
    <xf numFmtId="10" fontId="19" fillId="0" borderId="6" xfId="0" applyNumberFormat="1" applyFont="1" applyBorder="1" applyAlignment="1" applyProtection="1">
      <alignment vertical="center"/>
      <protection locked="0"/>
    </xf>
    <xf numFmtId="164" fontId="18" fillId="4" borderId="6" xfId="0" applyNumberFormat="1" applyFont="1" applyFill="1" applyBorder="1" applyAlignment="1" applyProtection="1">
      <alignment vertical="center"/>
      <protection locked="0"/>
    </xf>
    <xf numFmtId="164" fontId="18" fillId="0" borderId="6" xfId="0" applyNumberFormat="1" applyFont="1" applyBorder="1" applyAlignment="1" applyProtection="1">
      <alignment horizontal="right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4" fontId="27" fillId="0" borderId="6" xfId="9" applyNumberFormat="1" applyFont="1" applyFill="1" applyBorder="1" applyAlignment="1" applyProtection="1">
      <alignment horizontal="left" vertical="center" wrapText="1"/>
    </xf>
    <xf numFmtId="4" fontId="11" fillId="0" borderId="6" xfId="9" applyNumberFormat="1" applyFont="1" applyFill="1" applyBorder="1" applyAlignment="1" applyProtection="1">
      <alignment horizontal="left" vertical="center" wrapText="1"/>
    </xf>
    <xf numFmtId="4" fontId="12" fillId="0" borderId="6" xfId="9" applyNumberFormat="1" applyFont="1" applyFill="1" applyBorder="1" applyAlignment="1" applyProtection="1">
      <alignment horizontal="left" vertical="center" wrapText="1"/>
    </xf>
    <xf numFmtId="4" fontId="29" fillId="3" borderId="6" xfId="9" applyNumberFormat="1" applyFont="1" applyFill="1" applyBorder="1" applyAlignment="1" applyProtection="1">
      <alignment horizontal="center" vertical="center"/>
    </xf>
    <xf numFmtId="164" fontId="18" fillId="0" borderId="6" xfId="0" applyNumberFormat="1" applyFont="1" applyFill="1" applyBorder="1" applyAlignment="1" applyProtection="1">
      <alignment vertical="center"/>
      <protection locked="0"/>
    </xf>
    <xf numFmtId="4" fontId="11" fillId="0" borderId="6" xfId="9" applyNumberFormat="1" applyFont="1" applyFill="1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24" fillId="0" borderId="0" xfId="1" applyNumberFormat="1" applyFont="1" applyAlignment="1" applyProtection="1">
      <alignment horizontal="center" vertical="center"/>
    </xf>
    <xf numFmtId="0" fontId="5" fillId="0" borderId="0" xfId="1" applyNumberFormat="1" applyFont="1" applyAlignment="1" applyProtection="1">
      <alignment horizontal="center" vertical="center"/>
    </xf>
    <xf numFmtId="0" fontId="18" fillId="0" borderId="9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</cellXfs>
  <cellStyles count="19">
    <cellStyle name="xl22" xfId="2"/>
    <cellStyle name="xl25" xfId="12"/>
    <cellStyle name="xl27" xfId="1"/>
    <cellStyle name="xl29" xfId="4"/>
    <cellStyle name="xl30" xfId="5"/>
    <cellStyle name="xl34" xfId="8"/>
    <cellStyle name="xl49" xfId="3"/>
    <cellStyle name="xl54" xfId="7"/>
    <cellStyle name="xl56" xfId="9"/>
    <cellStyle name="xl57" xfId="13"/>
    <cellStyle name="xl58" xfId="14"/>
    <cellStyle name="xl74" xfId="6"/>
    <cellStyle name="xl75" xfId="10"/>
    <cellStyle name="xl76" xfId="11"/>
    <cellStyle name="Обычный" xfId="0" builtinId="0"/>
    <cellStyle name="Обычный 2" xfId="16"/>
    <cellStyle name="Обычный 3" xfId="15"/>
    <cellStyle name="Тысячи [0]_Лист1" xfId="17"/>
    <cellStyle name="Тысячи_Лист1" xfId="18"/>
  </cellStyles>
  <dxfs count="0"/>
  <tableStyles count="0" defaultTableStyle="TableStyleMedium9" defaultPivotStyle="PivotStyleLight16"/>
  <colors>
    <mruColors>
      <color rgb="FFC5D9F1"/>
      <color rgb="FFCCFFCC"/>
      <color rgb="FF99CCFF"/>
      <color rgb="FFFFCC99"/>
      <color rgb="FFCCFF99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zoomScaleNormal="100" workbookViewId="0">
      <selection activeCell="C20" sqref="C20"/>
    </sheetView>
  </sheetViews>
  <sheetFormatPr defaultColWidth="9.33203125" defaultRowHeight="12.75" x14ac:dyDescent="0.2"/>
  <cols>
    <col min="1" max="1" width="68.5" style="15" customWidth="1"/>
    <col min="2" max="3" width="21.5" style="15" customWidth="1"/>
    <col min="4" max="4" width="23" style="15" customWidth="1"/>
    <col min="5" max="6" width="19.1640625" style="15" customWidth="1"/>
    <col min="7" max="8" width="17.83203125" style="15" customWidth="1"/>
    <col min="9" max="9" width="19.1640625" style="15" customWidth="1"/>
    <col min="10" max="13" width="18.6640625" style="15" customWidth="1"/>
    <col min="14" max="14" width="46.5" style="12" customWidth="1"/>
    <col min="15" max="15" width="66.6640625" style="15" customWidth="1"/>
    <col min="16" max="16" width="5.33203125" style="15" customWidth="1"/>
    <col min="17" max="16384" width="9.33203125" style="15"/>
  </cols>
  <sheetData>
    <row r="1" spans="1:17" ht="15" x14ac:dyDescent="0.2">
      <c r="D1" s="25"/>
      <c r="E1" s="25"/>
      <c r="F1" s="25"/>
      <c r="G1" s="25"/>
      <c r="H1" s="25"/>
      <c r="I1" s="25"/>
      <c r="J1" s="25"/>
      <c r="K1" s="25"/>
      <c r="L1" s="25"/>
      <c r="M1" s="25"/>
      <c r="O1" s="12"/>
    </row>
    <row r="2" spans="1:17" ht="18.75" x14ac:dyDescent="0.2">
      <c r="A2" s="153" t="s">
        <v>101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O2" s="12"/>
    </row>
    <row r="3" spans="1:17" ht="15.75" x14ac:dyDescent="0.2">
      <c r="A3" s="154"/>
      <c r="B3" s="154"/>
      <c r="C3" s="154"/>
      <c r="D3" s="154"/>
      <c r="E3" s="154"/>
      <c r="F3" s="154"/>
      <c r="G3" s="154"/>
      <c r="H3" s="121"/>
      <c r="I3" s="121"/>
      <c r="J3" s="121"/>
      <c r="K3" s="121"/>
      <c r="L3" s="121"/>
      <c r="M3" s="121"/>
      <c r="O3" s="12"/>
    </row>
    <row r="4" spans="1:17" x14ac:dyDescent="0.2">
      <c r="A4" s="16"/>
      <c r="B4" s="1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O4" s="12"/>
    </row>
    <row r="5" spans="1:17" ht="72" x14ac:dyDescent="0.2">
      <c r="A5" s="77" t="s">
        <v>0</v>
      </c>
      <c r="B5" s="78" t="s">
        <v>96</v>
      </c>
      <c r="C5" s="78" t="s">
        <v>150</v>
      </c>
      <c r="D5" s="78" t="s">
        <v>103</v>
      </c>
      <c r="E5" s="79" t="s">
        <v>151</v>
      </c>
      <c r="F5" s="79" t="s">
        <v>152</v>
      </c>
      <c r="G5" s="74" t="s">
        <v>153</v>
      </c>
      <c r="H5" s="74" t="s">
        <v>154</v>
      </c>
      <c r="I5" s="74" t="s">
        <v>1</v>
      </c>
      <c r="J5" s="74" t="s">
        <v>166</v>
      </c>
      <c r="K5" s="80" t="s">
        <v>45</v>
      </c>
      <c r="L5" s="81" t="s">
        <v>97</v>
      </c>
      <c r="M5" s="81" t="s">
        <v>107</v>
      </c>
      <c r="N5" s="74" t="s">
        <v>108</v>
      </c>
      <c r="O5" s="12"/>
    </row>
    <row r="6" spans="1:17" ht="15.75" x14ac:dyDescent="0.2">
      <c r="A6" s="107" t="s">
        <v>8</v>
      </c>
      <c r="B6" s="108">
        <f>B7+B8+B9+B13+B16+B17+B27+B28+B37+B40+B41</f>
        <v>314199.04000000004</v>
      </c>
      <c r="C6" s="108">
        <f t="shared" ref="C6:F6" si="0">C7+C8+C9+C13+C16+C17+C27+C28+C37+C40+C41</f>
        <v>181734.75999999998</v>
      </c>
      <c r="D6" s="108">
        <f>D7+D8+D9+D13+D16+D17+D27+D28+D37+D40+D41</f>
        <v>328529.56</v>
      </c>
      <c r="E6" s="108">
        <f t="shared" si="0"/>
        <v>331362.79000000004</v>
      </c>
      <c r="F6" s="108">
        <f t="shared" si="0"/>
        <v>214788.21000000002</v>
      </c>
      <c r="G6" s="109">
        <f>F6/E6</f>
        <v>0.64819652804106342</v>
      </c>
      <c r="H6" s="109">
        <f>F6/C6</f>
        <v>1.1818774239996799</v>
      </c>
      <c r="I6" s="108">
        <f>I7+I9+I13+I16+I17+I27+I37+I40+I41</f>
        <v>53328.88316744037</v>
      </c>
      <c r="J6" s="108">
        <f>J7+J9+J13+J16+J17+J27+J37+J40+J41</f>
        <v>355391.15316744038</v>
      </c>
      <c r="K6" s="108">
        <f>K7+K8+K9+K13+K16+K17+K27+K28+K37+K40+K41</f>
        <v>329682.68458999996</v>
      </c>
      <c r="L6" s="108">
        <f t="shared" ref="L6:M6" si="1">L7+L8+L9+L13+L16+L17+L27+L28+L37+L40+L41</f>
        <v>343259.20900999999</v>
      </c>
      <c r="M6" s="108">
        <f t="shared" si="1"/>
        <v>358366.41001000011</v>
      </c>
      <c r="N6" s="73"/>
      <c r="O6" s="12"/>
    </row>
    <row r="7" spans="1:17" ht="18" customHeight="1" x14ac:dyDescent="0.2">
      <c r="A7" s="91" t="s">
        <v>38</v>
      </c>
      <c r="B7" s="83">
        <v>243343.43</v>
      </c>
      <c r="C7" s="83">
        <v>143023.79999999999</v>
      </c>
      <c r="D7" s="83">
        <v>251285.42</v>
      </c>
      <c r="E7" s="83">
        <v>251738.57</v>
      </c>
      <c r="F7" s="83">
        <v>162015.57</v>
      </c>
      <c r="G7" s="84">
        <f>F7/E7</f>
        <v>0.64358659858916334</v>
      </c>
      <c r="H7" s="85">
        <f>F7/C7</f>
        <v>1.1327874801256854</v>
      </c>
      <c r="I7" s="86">
        <f>D7*H7-E7</f>
        <v>32914.407714124536</v>
      </c>
      <c r="J7" s="86">
        <f>E7+I7</f>
        <v>284652.97771412454</v>
      </c>
      <c r="K7" s="87">
        <v>264325.49849999999</v>
      </c>
      <c r="L7" s="87">
        <v>278334.74991999997</v>
      </c>
      <c r="M7" s="87">
        <v>293321.49592000002</v>
      </c>
      <c r="N7" s="75" t="s">
        <v>155</v>
      </c>
      <c r="O7" s="13"/>
      <c r="P7" s="28"/>
      <c r="Q7" s="28"/>
    </row>
    <row r="8" spans="1:17" ht="24" x14ac:dyDescent="0.2">
      <c r="A8" s="82" t="s">
        <v>98</v>
      </c>
      <c r="B8" s="83">
        <v>166.13</v>
      </c>
      <c r="C8" s="83">
        <v>95.21</v>
      </c>
      <c r="D8" s="83">
        <v>148.37</v>
      </c>
      <c r="E8" s="83">
        <v>151.13999999999999</v>
      </c>
      <c r="F8" s="83">
        <v>104.51</v>
      </c>
      <c r="G8" s="84">
        <f>F8/E8</f>
        <v>0.69147809977504315</v>
      </c>
      <c r="H8" s="85">
        <f>F8/C8</f>
        <v>1.097678815250499</v>
      </c>
      <c r="I8" s="86">
        <f>D8*H8-E8</f>
        <v>11.722605818716573</v>
      </c>
      <c r="J8" s="86">
        <f>E8+I8</f>
        <v>162.86260581871656</v>
      </c>
      <c r="K8" s="87"/>
      <c r="L8" s="87"/>
      <c r="M8" s="87"/>
      <c r="N8" s="132" t="s">
        <v>163</v>
      </c>
      <c r="O8" s="13"/>
      <c r="P8" s="28"/>
      <c r="Q8" s="28"/>
    </row>
    <row r="9" spans="1:17" ht="15" x14ac:dyDescent="0.2">
      <c r="A9" s="82" t="s">
        <v>37</v>
      </c>
      <c r="B9" s="83">
        <f>B10+B11+B12</f>
        <v>7832.1100000000006</v>
      </c>
      <c r="C9" s="83">
        <f t="shared" ref="C9:F9" si="2">C10+C11+C12</f>
        <v>6389.22</v>
      </c>
      <c r="D9" s="83">
        <f t="shared" si="2"/>
        <v>8352.77</v>
      </c>
      <c r="E9" s="83">
        <f>E10+E11+E12</f>
        <v>3304.8900000000003</v>
      </c>
      <c r="F9" s="83">
        <f t="shared" si="2"/>
        <v>2673.0699999999997</v>
      </c>
      <c r="G9" s="84">
        <f t="shared" ref="G9:G30" si="3">F9/E9</f>
        <v>0.80882268396224966</v>
      </c>
      <c r="H9" s="85">
        <f t="shared" ref="H9:H46" si="4">F9/C9</f>
        <v>0.41837188263982139</v>
      </c>
      <c r="I9" s="86">
        <f>I10+I11+I12</f>
        <v>289.59402497585228</v>
      </c>
      <c r="J9" s="86">
        <f>E9+I9</f>
        <v>3594.4840249758527</v>
      </c>
      <c r="K9" s="87">
        <f>K10+K11+K12</f>
        <v>1378.3600200000001</v>
      </c>
      <c r="L9" s="87">
        <f t="shared" ref="L9:M9" si="5">L10+L11+L12</f>
        <v>1378.3600200000001</v>
      </c>
      <c r="M9" s="87">
        <f t="shared" si="5"/>
        <v>1378.3600200000001</v>
      </c>
      <c r="N9" s="76"/>
      <c r="O9" s="12"/>
    </row>
    <row r="10" spans="1:17" ht="15" x14ac:dyDescent="0.2">
      <c r="A10" s="92" t="s">
        <v>100</v>
      </c>
      <c r="B10" s="50">
        <v>7274.54</v>
      </c>
      <c r="C10" s="50">
        <v>5616.47</v>
      </c>
      <c r="D10" s="50">
        <v>7361.62</v>
      </c>
      <c r="E10" s="50">
        <v>1522.5</v>
      </c>
      <c r="F10" s="50">
        <v>1502.2</v>
      </c>
      <c r="G10" s="5">
        <f t="shared" si="3"/>
        <v>0.98666666666666669</v>
      </c>
      <c r="H10" s="3">
        <f t="shared" si="4"/>
        <v>0.2674633711210066</v>
      </c>
      <c r="I10" s="4">
        <f>D10*H10-E10</f>
        <v>446.46370211182466</v>
      </c>
      <c r="J10" s="4">
        <f t="shared" ref="J10:J26" si="6">E10+I10</f>
        <v>1968.9637021118247</v>
      </c>
      <c r="K10" s="72">
        <v>0</v>
      </c>
      <c r="L10" s="72">
        <v>0</v>
      </c>
      <c r="M10" s="72">
        <v>0</v>
      </c>
      <c r="N10" s="75" t="s">
        <v>148</v>
      </c>
      <c r="O10" s="13"/>
    </row>
    <row r="11" spans="1:17" ht="15" x14ac:dyDescent="0.2">
      <c r="A11" s="92" t="s">
        <v>10</v>
      </c>
      <c r="B11" s="50">
        <v>70.97</v>
      </c>
      <c r="C11" s="50">
        <v>175.26</v>
      </c>
      <c r="D11" s="50">
        <v>123.03</v>
      </c>
      <c r="E11" s="50">
        <v>130.71</v>
      </c>
      <c r="F11" s="50">
        <v>100.79</v>
      </c>
      <c r="G11" s="5">
        <f t="shared" si="3"/>
        <v>0.77109632009792672</v>
      </c>
      <c r="H11" s="3">
        <f t="shared" si="4"/>
        <v>0.57508844003195259</v>
      </c>
      <c r="I11" s="4">
        <f>D11*H11-E11</f>
        <v>-59.956869222868875</v>
      </c>
      <c r="J11" s="4">
        <f>E11+I11</f>
        <v>70.753130777131133</v>
      </c>
      <c r="K11" s="72">
        <v>104.874</v>
      </c>
      <c r="L11" s="72">
        <v>104.874</v>
      </c>
      <c r="M11" s="72">
        <v>104.874</v>
      </c>
      <c r="N11" s="76" t="s">
        <v>171</v>
      </c>
      <c r="O11" s="12"/>
    </row>
    <row r="12" spans="1:17" ht="16.5" customHeight="1" x14ac:dyDescent="0.2">
      <c r="A12" s="92" t="s">
        <v>11</v>
      </c>
      <c r="B12" s="50">
        <v>486.6</v>
      </c>
      <c r="C12" s="50">
        <v>597.49</v>
      </c>
      <c r="D12" s="50">
        <v>868.12</v>
      </c>
      <c r="E12" s="50">
        <v>1651.68</v>
      </c>
      <c r="F12" s="50">
        <v>1070.08</v>
      </c>
      <c r="G12" s="5">
        <f t="shared" si="3"/>
        <v>0.64787368013174462</v>
      </c>
      <c r="H12" s="3">
        <f>F12/C12</f>
        <v>1.7909588444994893</v>
      </c>
      <c r="I12" s="4">
        <f>D12*H12-E12</f>
        <v>-96.912807913103507</v>
      </c>
      <c r="J12" s="4">
        <f>E12+I12</f>
        <v>1554.7671920868966</v>
      </c>
      <c r="K12" s="72">
        <v>1273.4860200000001</v>
      </c>
      <c r="L12" s="72">
        <v>1273.4860200000001</v>
      </c>
      <c r="M12" s="72">
        <v>1273.4860200000001</v>
      </c>
      <c r="N12" s="76" t="s">
        <v>177</v>
      </c>
      <c r="O12" s="12"/>
    </row>
    <row r="13" spans="1:17" ht="15" x14ac:dyDescent="0.2">
      <c r="A13" s="91" t="s">
        <v>12</v>
      </c>
      <c r="B13" s="83">
        <f>B14+B15</f>
        <v>1347.43</v>
      </c>
      <c r="C13" s="83">
        <f t="shared" ref="C13:F13" si="7">C14+C15</f>
        <v>1421.74</v>
      </c>
      <c r="D13" s="83">
        <f t="shared" si="7"/>
        <v>2372.25</v>
      </c>
      <c r="E13" s="83">
        <f t="shared" si="7"/>
        <v>2000</v>
      </c>
      <c r="F13" s="83">
        <f t="shared" si="7"/>
        <v>1241.1399999999999</v>
      </c>
      <c r="G13" s="84">
        <f t="shared" si="3"/>
        <v>0.62056999999999995</v>
      </c>
      <c r="H13" s="85">
        <f t="shared" si="4"/>
        <v>0.8729725547568471</v>
      </c>
      <c r="I13" s="86">
        <f>I14+I15</f>
        <v>-380.25116990448339</v>
      </c>
      <c r="J13" s="86">
        <f t="shared" si="6"/>
        <v>1619.7488300955165</v>
      </c>
      <c r="K13" s="87">
        <f>K14+K15</f>
        <v>1609.18579</v>
      </c>
      <c r="L13" s="87">
        <f t="shared" ref="L13:M13" si="8">L14+L15</f>
        <v>1609.18579</v>
      </c>
      <c r="M13" s="87">
        <f t="shared" si="8"/>
        <v>1609.18579</v>
      </c>
      <c r="N13" s="76"/>
      <c r="O13" s="12"/>
    </row>
    <row r="14" spans="1:17" ht="24" x14ac:dyDescent="0.2">
      <c r="A14" s="20" t="s">
        <v>110</v>
      </c>
      <c r="B14" s="50">
        <v>1347.43</v>
      </c>
      <c r="C14" s="50">
        <v>1421.74</v>
      </c>
      <c r="D14" s="50">
        <v>2372.25</v>
      </c>
      <c r="E14" s="50">
        <v>2000</v>
      </c>
      <c r="F14" s="50">
        <v>566.30999999999995</v>
      </c>
      <c r="G14" s="5">
        <f t="shared" si="3"/>
        <v>0.28315499999999999</v>
      </c>
      <c r="H14" s="3">
        <f>F14/C14</f>
        <v>0.39832177472674324</v>
      </c>
      <c r="I14" s="4">
        <f t="shared" ref="I14:I45" si="9">D14*H14-E14</f>
        <v>-1055.0811699044834</v>
      </c>
      <c r="J14" s="4">
        <f t="shared" si="6"/>
        <v>944.91883009551657</v>
      </c>
      <c r="K14" s="72">
        <v>1609.18579</v>
      </c>
      <c r="L14" s="72">
        <v>1609.18579</v>
      </c>
      <c r="M14" s="72">
        <v>1609.18579</v>
      </c>
      <c r="N14" s="75" t="s">
        <v>141</v>
      </c>
      <c r="O14" s="12"/>
    </row>
    <row r="15" spans="1:17" ht="24" x14ac:dyDescent="0.2">
      <c r="A15" s="20" t="s">
        <v>111</v>
      </c>
      <c r="B15" s="50">
        <v>0</v>
      </c>
      <c r="C15" s="50">
        <v>0</v>
      </c>
      <c r="D15" s="50">
        <v>0</v>
      </c>
      <c r="E15" s="50">
        <v>0</v>
      </c>
      <c r="F15" s="50">
        <v>674.83</v>
      </c>
      <c r="G15" s="5">
        <v>1</v>
      </c>
      <c r="H15" s="3">
        <v>1</v>
      </c>
      <c r="I15" s="4">
        <v>674.83</v>
      </c>
      <c r="J15" s="4">
        <f>E15+I15</f>
        <v>674.83</v>
      </c>
      <c r="K15" s="72">
        <v>0</v>
      </c>
      <c r="L15" s="72">
        <v>0</v>
      </c>
      <c r="M15" s="72">
        <v>0</v>
      </c>
      <c r="N15" s="76" t="s">
        <v>117</v>
      </c>
      <c r="O15" s="12"/>
    </row>
    <row r="16" spans="1:17" ht="24" x14ac:dyDescent="0.2">
      <c r="A16" s="82" t="s">
        <v>13</v>
      </c>
      <c r="B16" s="83">
        <v>5.7</v>
      </c>
      <c r="C16" s="83">
        <v>0.01</v>
      </c>
      <c r="D16" s="83">
        <v>0.01</v>
      </c>
      <c r="E16" s="83">
        <v>5.74</v>
      </c>
      <c r="F16" s="83">
        <v>0</v>
      </c>
      <c r="G16" s="84">
        <f t="shared" si="3"/>
        <v>0</v>
      </c>
      <c r="H16" s="85">
        <f t="shared" si="4"/>
        <v>0</v>
      </c>
      <c r="I16" s="86">
        <f t="shared" si="9"/>
        <v>-5.74</v>
      </c>
      <c r="J16" s="86">
        <f t="shared" si="6"/>
        <v>0</v>
      </c>
      <c r="K16" s="87">
        <v>0</v>
      </c>
      <c r="L16" s="87">
        <v>0</v>
      </c>
      <c r="M16" s="87">
        <v>0</v>
      </c>
      <c r="N16" s="75"/>
      <c r="O16" s="12"/>
    </row>
    <row r="17" spans="1:15" ht="24" x14ac:dyDescent="0.2">
      <c r="A17" s="82" t="s">
        <v>14</v>
      </c>
      <c r="B17" s="83">
        <f>B18+B19+B22+B25+B26</f>
        <v>22576.799999999999</v>
      </c>
      <c r="C17" s="83">
        <f t="shared" ref="C17:E17" si="10">C18+C19+C22+C25+C26</f>
        <v>15582.62</v>
      </c>
      <c r="D17" s="83">
        <f t="shared" si="10"/>
        <v>23716.65</v>
      </c>
      <c r="E17" s="83">
        <f t="shared" si="10"/>
        <v>26692.84</v>
      </c>
      <c r="F17" s="83">
        <f>F18+F19+F22+F25+F26</f>
        <v>18242.09</v>
      </c>
      <c r="G17" s="84">
        <f t="shared" si="3"/>
        <v>0.68340761043036258</v>
      </c>
      <c r="H17" s="85">
        <f>F17/C17</f>
        <v>1.1706689889120057</v>
      </c>
      <c r="I17" s="86">
        <f>I18+I19+I22+I25+I26</f>
        <v>-464.46969849767856</v>
      </c>
      <c r="J17" s="86">
        <f t="shared" si="6"/>
        <v>26228.37030150232</v>
      </c>
      <c r="K17" s="87">
        <f>K18+K19+K22+K25+K26</f>
        <v>24004.806140000004</v>
      </c>
      <c r="L17" s="87">
        <f t="shared" ref="L17:M17" si="11">L18+L19+L22+L25+L26</f>
        <v>24317.286140000004</v>
      </c>
      <c r="M17" s="87">
        <f t="shared" si="11"/>
        <v>24422.814140000006</v>
      </c>
      <c r="N17" s="76"/>
      <c r="O17" s="12"/>
    </row>
    <row r="18" spans="1:15" ht="24" x14ac:dyDescent="0.2">
      <c r="A18" s="20" t="s">
        <v>15</v>
      </c>
      <c r="B18" s="50">
        <v>110.8</v>
      </c>
      <c r="C18" s="50">
        <v>46.43</v>
      </c>
      <c r="D18" s="50">
        <v>118.97</v>
      </c>
      <c r="E18" s="50">
        <v>123.8</v>
      </c>
      <c r="F18" s="50">
        <v>95.09</v>
      </c>
      <c r="G18" s="5">
        <f t="shared" si="3"/>
        <v>0.76809369951534734</v>
      </c>
      <c r="H18" s="3">
        <f t="shared" si="4"/>
        <v>2.0480292914064182</v>
      </c>
      <c r="I18" s="4">
        <f t="shared" si="9"/>
        <v>119.85404479862159</v>
      </c>
      <c r="J18" s="4">
        <f t="shared" si="6"/>
        <v>243.65404479862158</v>
      </c>
      <c r="K18" s="72">
        <v>238.2</v>
      </c>
      <c r="L18" s="72">
        <v>238.2</v>
      </c>
      <c r="M18" s="72">
        <v>0</v>
      </c>
      <c r="N18" s="75" t="s">
        <v>118</v>
      </c>
      <c r="O18" s="12"/>
    </row>
    <row r="19" spans="1:15" ht="48" x14ac:dyDescent="0.2">
      <c r="A19" s="92" t="s">
        <v>16</v>
      </c>
      <c r="B19" s="50">
        <f>B20+B21</f>
        <v>19438</v>
      </c>
      <c r="C19" s="50">
        <f>C20+C21</f>
        <v>13194.08</v>
      </c>
      <c r="D19" s="50">
        <f t="shared" ref="D19:F19" si="12">D20+D21</f>
        <v>19982.52</v>
      </c>
      <c r="E19" s="50">
        <f t="shared" si="12"/>
        <v>20900</v>
      </c>
      <c r="F19" s="50">
        <f t="shared" si="12"/>
        <v>15903.35</v>
      </c>
      <c r="G19" s="5">
        <f t="shared" si="3"/>
        <v>0.76092583732057417</v>
      </c>
      <c r="H19" s="3">
        <f t="shared" si="4"/>
        <v>1.205339819070371</v>
      </c>
      <c r="I19" s="4">
        <v>1500</v>
      </c>
      <c r="J19" s="4">
        <f>E19+I19</f>
        <v>22400</v>
      </c>
      <c r="K19" s="72">
        <f>K20+K21</f>
        <v>19307.386010000002</v>
      </c>
      <c r="L19" s="72">
        <f t="shared" ref="L19:M19" si="13">L20+L21</f>
        <v>19307.386010000002</v>
      </c>
      <c r="M19" s="72">
        <f t="shared" si="13"/>
        <v>19307.386010000002</v>
      </c>
      <c r="N19" s="75"/>
      <c r="O19" s="13"/>
    </row>
    <row r="20" spans="1:15" ht="15" x14ac:dyDescent="0.2">
      <c r="A20" s="93" t="s">
        <v>113</v>
      </c>
      <c r="B20" s="94">
        <v>15468</v>
      </c>
      <c r="C20" s="94">
        <v>10913.55</v>
      </c>
      <c r="D20" s="94">
        <v>16331.71</v>
      </c>
      <c r="E20" s="94">
        <v>18000</v>
      </c>
      <c r="F20" s="94">
        <v>14362.09</v>
      </c>
      <c r="G20" s="95">
        <f t="shared" si="3"/>
        <v>0.7978938888888889</v>
      </c>
      <c r="H20" s="96">
        <f t="shared" si="4"/>
        <v>1.3159870069775648</v>
      </c>
      <c r="I20" s="97">
        <f t="shared" ref="I20:I21" si="14">D20*H20-E20</f>
        <v>3492.3181617255614</v>
      </c>
      <c r="J20" s="97">
        <f t="shared" ref="J20:J21" si="15">E20+I20</f>
        <v>21492.318161725561</v>
      </c>
      <c r="K20" s="131">
        <v>16000</v>
      </c>
      <c r="L20" s="131">
        <v>16000</v>
      </c>
      <c r="M20" s="131">
        <v>16000</v>
      </c>
      <c r="N20" s="75" t="s">
        <v>116</v>
      </c>
      <c r="O20" s="13"/>
    </row>
    <row r="21" spans="1:15" ht="15" x14ac:dyDescent="0.2">
      <c r="A21" s="127" t="s">
        <v>114</v>
      </c>
      <c r="B21" s="94">
        <v>3970</v>
      </c>
      <c r="C21" s="94">
        <v>2280.5300000000002</v>
      </c>
      <c r="D21" s="94">
        <v>3650.81</v>
      </c>
      <c r="E21" s="94">
        <v>2900</v>
      </c>
      <c r="F21" s="94">
        <v>1541.26</v>
      </c>
      <c r="G21" s="95">
        <f t="shared" si="3"/>
        <v>0.53146896551724132</v>
      </c>
      <c r="H21" s="96">
        <f t="shared" si="4"/>
        <v>0.67583412627766348</v>
      </c>
      <c r="I21" s="97">
        <f t="shared" si="14"/>
        <v>-432.65801344424335</v>
      </c>
      <c r="J21" s="97">
        <f t="shared" si="15"/>
        <v>2467.3419865557566</v>
      </c>
      <c r="K21" s="131">
        <v>3307.3860100000002</v>
      </c>
      <c r="L21" s="131">
        <v>3307.3860100000002</v>
      </c>
      <c r="M21" s="131">
        <v>3307.3860100000002</v>
      </c>
      <c r="N21" s="75" t="s">
        <v>138</v>
      </c>
      <c r="O21" s="13"/>
    </row>
    <row r="22" spans="1:15" ht="60" x14ac:dyDescent="0.2">
      <c r="A22" s="92" t="s">
        <v>17</v>
      </c>
      <c r="B22" s="50">
        <f>B23+B24</f>
        <v>536</v>
      </c>
      <c r="C22" s="50">
        <f t="shared" ref="C22:F22" si="16">C23+C24</f>
        <v>220.19</v>
      </c>
      <c r="D22" s="50">
        <f t="shared" si="16"/>
        <v>404.15</v>
      </c>
      <c r="E22" s="50">
        <f t="shared" si="16"/>
        <v>2669.04</v>
      </c>
      <c r="F22" s="50">
        <f t="shared" si="16"/>
        <v>588.13</v>
      </c>
      <c r="G22" s="5">
        <f t="shared" si="3"/>
        <v>0.22035263615382311</v>
      </c>
      <c r="H22" s="3">
        <f t="shared" si="4"/>
        <v>2.6710113992461055</v>
      </c>
      <c r="I22" s="4">
        <f t="shared" si="9"/>
        <v>-1589.5507429946865</v>
      </c>
      <c r="J22" s="4">
        <f t="shared" si="6"/>
        <v>1079.4892570053134</v>
      </c>
      <c r="K22" s="72">
        <f>K23+K24</f>
        <v>742.47013000000004</v>
      </c>
      <c r="L22" s="72">
        <f t="shared" ref="L22:M22" si="17">L23+L24</f>
        <v>742.47013000000004</v>
      </c>
      <c r="M22" s="72">
        <f t="shared" si="17"/>
        <v>742.47013000000004</v>
      </c>
      <c r="N22" s="75"/>
      <c r="O22" s="13"/>
    </row>
    <row r="23" spans="1:15" ht="15" x14ac:dyDescent="0.2">
      <c r="A23" s="93" t="s">
        <v>113</v>
      </c>
      <c r="B23" s="94">
        <v>506</v>
      </c>
      <c r="C23" s="94">
        <v>172.9</v>
      </c>
      <c r="D23" s="94">
        <v>326.52</v>
      </c>
      <c r="E23" s="94">
        <v>2669.04</v>
      </c>
      <c r="F23" s="94">
        <v>563.04</v>
      </c>
      <c r="G23" s="95">
        <f t="shared" si="3"/>
        <v>0.21095225249527919</v>
      </c>
      <c r="H23" s="96">
        <f t="shared" si="4"/>
        <v>3.256448814343551</v>
      </c>
      <c r="I23" s="97">
        <f t="shared" si="9"/>
        <v>-1605.7443331405436</v>
      </c>
      <c r="J23" s="97">
        <f t="shared" si="6"/>
        <v>1063.2956668594563</v>
      </c>
      <c r="K23" s="131">
        <v>708.23</v>
      </c>
      <c r="L23" s="131">
        <v>708.23</v>
      </c>
      <c r="M23" s="131">
        <v>708.23</v>
      </c>
      <c r="N23" s="75" t="s">
        <v>117</v>
      </c>
      <c r="O23" s="13"/>
    </row>
    <row r="24" spans="1:15" ht="15" x14ac:dyDescent="0.2">
      <c r="A24" s="127" t="s">
        <v>114</v>
      </c>
      <c r="B24" s="94">
        <v>30</v>
      </c>
      <c r="C24" s="94">
        <v>47.29</v>
      </c>
      <c r="D24" s="94">
        <v>77.63</v>
      </c>
      <c r="E24" s="94">
        <v>0</v>
      </c>
      <c r="F24" s="94">
        <v>25.09</v>
      </c>
      <c r="G24" s="95">
        <v>1</v>
      </c>
      <c r="H24" s="96">
        <f t="shared" si="4"/>
        <v>0.53055614294776909</v>
      </c>
      <c r="I24" s="97">
        <f t="shared" si="9"/>
        <v>41.187073377035311</v>
      </c>
      <c r="J24" s="97">
        <f t="shared" si="6"/>
        <v>41.187073377035311</v>
      </c>
      <c r="K24" s="131">
        <v>34.240130000000001</v>
      </c>
      <c r="L24" s="131">
        <v>34.240130000000001</v>
      </c>
      <c r="M24" s="131">
        <v>34.240130000000001</v>
      </c>
      <c r="N24" s="75" t="s">
        <v>138</v>
      </c>
      <c r="O24" s="13"/>
    </row>
    <row r="25" spans="1:15" ht="60" x14ac:dyDescent="0.2">
      <c r="A25" s="20" t="s">
        <v>19</v>
      </c>
      <c r="B25" s="50">
        <v>2492</v>
      </c>
      <c r="C25" s="50">
        <v>2121.92</v>
      </c>
      <c r="D25" s="50">
        <v>3211.01</v>
      </c>
      <c r="E25" s="50">
        <v>3000</v>
      </c>
      <c r="F25" s="50">
        <v>1655.52</v>
      </c>
      <c r="G25" s="5">
        <f t="shared" si="3"/>
        <v>0.55184</v>
      </c>
      <c r="H25" s="3">
        <f t="shared" si="4"/>
        <v>0.78019906499773783</v>
      </c>
      <c r="I25" s="4">
        <f t="shared" si="9"/>
        <v>-494.77300030161359</v>
      </c>
      <c r="J25" s="4">
        <f t="shared" si="6"/>
        <v>2505.2269996983864</v>
      </c>
      <c r="K25" s="72">
        <v>3124.8</v>
      </c>
      <c r="L25" s="72">
        <v>3437.28</v>
      </c>
      <c r="M25" s="72">
        <v>3781.0079999999998</v>
      </c>
      <c r="N25" s="75" t="s">
        <v>119</v>
      </c>
      <c r="O25" s="32"/>
    </row>
    <row r="26" spans="1:15" ht="72" x14ac:dyDescent="0.2">
      <c r="A26" s="20" t="s">
        <v>109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">
        <v>0</v>
      </c>
      <c r="H26" s="3">
        <v>0</v>
      </c>
      <c r="I26" s="4">
        <f t="shared" si="9"/>
        <v>0</v>
      </c>
      <c r="J26" s="4">
        <f t="shared" si="6"/>
        <v>0</v>
      </c>
      <c r="K26" s="72">
        <v>591.95000000000005</v>
      </c>
      <c r="L26" s="72">
        <v>591.95000000000005</v>
      </c>
      <c r="M26" s="72">
        <v>591.95000000000005</v>
      </c>
      <c r="N26" s="75" t="s">
        <v>117</v>
      </c>
      <c r="O26" s="32"/>
    </row>
    <row r="27" spans="1:15" ht="24" x14ac:dyDescent="0.2">
      <c r="A27" s="82" t="s">
        <v>99</v>
      </c>
      <c r="B27" s="83">
        <v>7982.4</v>
      </c>
      <c r="C27" s="83">
        <v>3001.51</v>
      </c>
      <c r="D27" s="83">
        <v>7552.61</v>
      </c>
      <c r="E27" s="83">
        <v>10036.719999999999</v>
      </c>
      <c r="F27" s="83">
        <v>6841.25</v>
      </c>
      <c r="G27" s="84">
        <f t="shared" si="3"/>
        <v>0.68162208370862198</v>
      </c>
      <c r="H27" s="85">
        <f t="shared" si="4"/>
        <v>2.2792694343846929</v>
      </c>
      <c r="I27" s="86">
        <f>D27*H27-E27</f>
        <v>7177.7131228281742</v>
      </c>
      <c r="J27" s="86">
        <f>E27+I27</f>
        <v>17214.433122828174</v>
      </c>
      <c r="K27" s="87">
        <v>5224.6000000000004</v>
      </c>
      <c r="L27" s="87">
        <v>5469.9</v>
      </c>
      <c r="M27" s="87">
        <v>5469.9</v>
      </c>
      <c r="N27" s="75" t="s">
        <v>136</v>
      </c>
      <c r="O27" s="13"/>
    </row>
    <row r="28" spans="1:15" ht="24" x14ac:dyDescent="0.2">
      <c r="A28" s="91" t="s">
        <v>21</v>
      </c>
      <c r="B28" s="83">
        <f>B29+B30+B31+B34</f>
        <v>17777.509999999998</v>
      </c>
      <c r="C28" s="83">
        <f t="shared" ref="C28:F28" si="18">C29+C30+C31+C34</f>
        <v>8089.4299999999994</v>
      </c>
      <c r="D28" s="83">
        <f t="shared" si="18"/>
        <v>20670.870000000003</v>
      </c>
      <c r="E28" s="83">
        <f t="shared" si="18"/>
        <v>29149.38</v>
      </c>
      <c r="F28" s="83">
        <f t="shared" si="18"/>
        <v>18093.210000000003</v>
      </c>
      <c r="G28" s="84">
        <f t="shared" si="3"/>
        <v>0.62070651245412434</v>
      </c>
      <c r="H28" s="85">
        <f t="shared" si="4"/>
        <v>2.2366483176194123</v>
      </c>
      <c r="I28" s="86">
        <f>I29+I30+I31+I34</f>
        <v>5205.862500080786</v>
      </c>
      <c r="J28" s="86">
        <f>E28+I28</f>
        <v>34355.242500080785</v>
      </c>
      <c r="K28" s="87">
        <f>K29+K30+K31+K34</f>
        <v>26913.917140000001</v>
      </c>
      <c r="L28" s="87">
        <f t="shared" ref="L28:M28" si="19">L29+L30+L31+L34</f>
        <v>26928.41014</v>
      </c>
      <c r="M28" s="87">
        <f t="shared" si="19"/>
        <v>26943.33714</v>
      </c>
      <c r="N28" s="76"/>
      <c r="O28" s="13"/>
    </row>
    <row r="29" spans="1:15" ht="15" x14ac:dyDescent="0.2">
      <c r="A29" s="20" t="s">
        <v>129</v>
      </c>
      <c r="B29" s="50">
        <v>0</v>
      </c>
      <c r="C29" s="50">
        <v>196.98</v>
      </c>
      <c r="D29" s="50">
        <v>281.39999999999998</v>
      </c>
      <c r="E29" s="50">
        <v>0</v>
      </c>
      <c r="F29" s="50">
        <v>75.040000000000006</v>
      </c>
      <c r="G29" s="5">
        <v>1</v>
      </c>
      <c r="H29" s="3">
        <f t="shared" si="4"/>
        <v>0.38095238095238099</v>
      </c>
      <c r="I29" s="4">
        <f t="shared" si="9"/>
        <v>107.2</v>
      </c>
      <c r="J29" s="4">
        <f t="shared" ref="J29:J33" si="20">E29+I29</f>
        <v>107.2</v>
      </c>
      <c r="K29" s="72">
        <v>0</v>
      </c>
      <c r="L29" s="72">
        <v>0</v>
      </c>
      <c r="M29" s="72">
        <v>0</v>
      </c>
      <c r="N29" s="76"/>
      <c r="O29" s="13"/>
    </row>
    <row r="30" spans="1:15" ht="15" x14ac:dyDescent="0.2">
      <c r="A30" s="20" t="s">
        <v>130</v>
      </c>
      <c r="B30" s="50">
        <v>17777.509999999998</v>
      </c>
      <c r="C30" s="50">
        <v>7686.87</v>
      </c>
      <c r="D30" s="50">
        <v>16857.2</v>
      </c>
      <c r="E30" s="50">
        <v>24729.38</v>
      </c>
      <c r="F30" s="50">
        <v>13589.01</v>
      </c>
      <c r="G30" s="5">
        <f t="shared" si="3"/>
        <v>0.54950872201405776</v>
      </c>
      <c r="H30" s="3">
        <f t="shared" si="4"/>
        <v>1.7678209726455631</v>
      </c>
      <c r="I30" s="4">
        <f t="shared" si="9"/>
        <v>5071.1317000807867</v>
      </c>
      <c r="J30" s="4">
        <f t="shared" si="20"/>
        <v>29800.511700080788</v>
      </c>
      <c r="K30" s="72">
        <v>26913.917140000001</v>
      </c>
      <c r="L30" s="72">
        <v>26928.41014</v>
      </c>
      <c r="M30" s="72">
        <v>26943.33714</v>
      </c>
      <c r="N30" s="76" t="s">
        <v>149</v>
      </c>
      <c r="O30" s="13"/>
    </row>
    <row r="31" spans="1:15" ht="24" x14ac:dyDescent="0.2">
      <c r="A31" s="20" t="s">
        <v>115</v>
      </c>
      <c r="B31" s="50">
        <f>B32+B33</f>
        <v>0</v>
      </c>
      <c r="C31" s="50">
        <f t="shared" ref="C31:F31" si="21">C32+C33</f>
        <v>9.5</v>
      </c>
      <c r="D31" s="50">
        <f t="shared" si="21"/>
        <v>33.44</v>
      </c>
      <c r="E31" s="50">
        <f t="shared" si="21"/>
        <v>0</v>
      </c>
      <c r="F31" s="50">
        <f t="shared" si="21"/>
        <v>7.29</v>
      </c>
      <c r="G31" s="5">
        <v>1</v>
      </c>
      <c r="H31" s="3">
        <f t="shared" si="4"/>
        <v>0.76736842105263159</v>
      </c>
      <c r="I31" s="4">
        <f>D31*H31-E31</f>
        <v>25.660799999999998</v>
      </c>
      <c r="J31" s="4">
        <f t="shared" si="20"/>
        <v>25.660799999999998</v>
      </c>
      <c r="K31" s="72">
        <f>K32+K33</f>
        <v>0</v>
      </c>
      <c r="L31" s="72">
        <f t="shared" ref="L31:M31" si="22">L32+L33</f>
        <v>0</v>
      </c>
      <c r="M31" s="72">
        <f t="shared" si="22"/>
        <v>0</v>
      </c>
      <c r="N31" s="76"/>
      <c r="O31" s="13"/>
    </row>
    <row r="32" spans="1:15" ht="15" x14ac:dyDescent="0.2">
      <c r="A32" s="93" t="s">
        <v>113</v>
      </c>
      <c r="B32" s="94">
        <v>0</v>
      </c>
      <c r="C32" s="94">
        <v>9.5</v>
      </c>
      <c r="D32" s="94">
        <v>33.44</v>
      </c>
      <c r="E32" s="94">
        <v>0</v>
      </c>
      <c r="F32" s="94">
        <v>0</v>
      </c>
      <c r="G32" s="95">
        <v>0</v>
      </c>
      <c r="H32" s="96">
        <f t="shared" si="4"/>
        <v>0</v>
      </c>
      <c r="I32" s="97">
        <f t="shared" si="9"/>
        <v>0</v>
      </c>
      <c r="J32" s="97">
        <f t="shared" si="20"/>
        <v>0</v>
      </c>
      <c r="K32" s="131">
        <v>0</v>
      </c>
      <c r="L32" s="131">
        <v>0</v>
      </c>
      <c r="M32" s="131">
        <v>0</v>
      </c>
      <c r="N32" s="76"/>
      <c r="O32" s="13"/>
    </row>
    <row r="33" spans="1:15" ht="15" x14ac:dyDescent="0.2">
      <c r="A33" s="93" t="s">
        <v>131</v>
      </c>
      <c r="B33" s="94">
        <v>0</v>
      </c>
      <c r="C33" s="94">
        <v>0</v>
      </c>
      <c r="D33" s="94">
        <v>0</v>
      </c>
      <c r="E33" s="94">
        <v>0</v>
      </c>
      <c r="F33" s="94">
        <v>7.29</v>
      </c>
      <c r="G33" s="95">
        <v>1</v>
      </c>
      <c r="H33" s="96">
        <v>1</v>
      </c>
      <c r="I33" s="97">
        <f>F33</f>
        <v>7.29</v>
      </c>
      <c r="J33" s="97">
        <f t="shared" si="20"/>
        <v>7.29</v>
      </c>
      <c r="K33" s="131">
        <v>0</v>
      </c>
      <c r="L33" s="131">
        <v>0</v>
      </c>
      <c r="M33" s="131">
        <v>0</v>
      </c>
      <c r="N33" s="76"/>
      <c r="O33" s="13"/>
    </row>
    <row r="34" spans="1:15" ht="15" x14ac:dyDescent="0.2">
      <c r="A34" s="20" t="s">
        <v>112</v>
      </c>
      <c r="B34" s="50">
        <f>B35+B36</f>
        <v>0</v>
      </c>
      <c r="C34" s="50">
        <f t="shared" ref="C34:F34" si="23">C35+C36</f>
        <v>196.07999999999998</v>
      </c>
      <c r="D34" s="50">
        <f t="shared" si="23"/>
        <v>3498.83</v>
      </c>
      <c r="E34" s="50">
        <f t="shared" si="23"/>
        <v>4420</v>
      </c>
      <c r="F34" s="50">
        <f t="shared" si="23"/>
        <v>4421.87</v>
      </c>
      <c r="G34" s="5">
        <f>F34/E34</f>
        <v>1.0004230769230769</v>
      </c>
      <c r="H34" s="3">
        <f>F34/C34</f>
        <v>22.551356589147289</v>
      </c>
      <c r="I34" s="4">
        <f>F34-E34</f>
        <v>1.8699999999998909</v>
      </c>
      <c r="J34" s="4">
        <f>E34+I34</f>
        <v>4421.87</v>
      </c>
      <c r="K34" s="72">
        <f>K35+K36</f>
        <v>0</v>
      </c>
      <c r="L34" s="72">
        <f t="shared" ref="L34:M34" si="24">L35+L36</f>
        <v>0</v>
      </c>
      <c r="M34" s="72">
        <f t="shared" si="24"/>
        <v>0</v>
      </c>
      <c r="N34" s="76"/>
      <c r="O34" s="13"/>
    </row>
    <row r="35" spans="1:15" ht="15" x14ac:dyDescent="0.2">
      <c r="A35" s="93" t="s">
        <v>113</v>
      </c>
      <c r="B35" s="94">
        <v>0</v>
      </c>
      <c r="C35" s="94">
        <v>195.48</v>
      </c>
      <c r="D35" s="94">
        <v>3498.23</v>
      </c>
      <c r="E35" s="94">
        <v>4420</v>
      </c>
      <c r="F35" s="94">
        <v>4421.87</v>
      </c>
      <c r="G35" s="95">
        <f>F35/E35</f>
        <v>1.0004230769230769</v>
      </c>
      <c r="H35" s="128">
        <f>F35/C35</f>
        <v>22.620574994884389</v>
      </c>
      <c r="I35" s="129">
        <f>F35-E35</f>
        <v>1.8699999999998909</v>
      </c>
      <c r="J35" s="129">
        <f t="shared" ref="J35:J36" si="25">E35+I35</f>
        <v>4421.87</v>
      </c>
      <c r="K35" s="131">
        <v>0</v>
      </c>
      <c r="L35" s="131">
        <v>0</v>
      </c>
      <c r="M35" s="131">
        <v>0</v>
      </c>
      <c r="N35" s="76"/>
      <c r="O35" s="13"/>
    </row>
    <row r="36" spans="1:15" ht="15" x14ac:dyDescent="0.2">
      <c r="A36" s="93" t="s">
        <v>131</v>
      </c>
      <c r="B36" s="94">
        <v>0</v>
      </c>
      <c r="C36" s="94">
        <v>0.6</v>
      </c>
      <c r="D36" s="94">
        <v>0.6</v>
      </c>
      <c r="E36" s="94">
        <v>0</v>
      </c>
      <c r="F36" s="94">
        <v>0</v>
      </c>
      <c r="G36" s="95">
        <v>0</v>
      </c>
      <c r="H36" s="96">
        <f t="shared" ref="H36" si="26">F36/C36</f>
        <v>0</v>
      </c>
      <c r="I36" s="97">
        <f t="shared" ref="I36" si="27">D36*H36-E36</f>
        <v>0</v>
      </c>
      <c r="J36" s="97">
        <f t="shared" si="25"/>
        <v>0</v>
      </c>
      <c r="K36" s="131">
        <v>0</v>
      </c>
      <c r="L36" s="131">
        <v>0</v>
      </c>
      <c r="M36" s="131">
        <v>0</v>
      </c>
      <c r="N36" s="76"/>
      <c r="O36" s="13"/>
    </row>
    <row r="37" spans="1:15" ht="24" x14ac:dyDescent="0.2">
      <c r="A37" s="82" t="s">
        <v>22</v>
      </c>
      <c r="B37" s="83">
        <f t="shared" ref="B37:F37" si="28">B38+B39</f>
        <v>10292.33</v>
      </c>
      <c r="C37" s="83">
        <f t="shared" si="28"/>
        <v>2069.7199999999998</v>
      </c>
      <c r="D37" s="83">
        <f t="shared" si="28"/>
        <v>11647.83</v>
      </c>
      <c r="E37" s="83">
        <f t="shared" si="28"/>
        <v>5949.24</v>
      </c>
      <c r="F37" s="83">
        <f t="shared" si="28"/>
        <v>4090.49</v>
      </c>
      <c r="G37" s="84">
        <f t="shared" ref="G37:G46" si="29">F37/E37</f>
        <v>0.68756513437010436</v>
      </c>
      <c r="H37" s="85">
        <f t="shared" si="4"/>
        <v>1.9763494578976868</v>
      </c>
      <c r="I37" s="86">
        <f>I38+I39</f>
        <v>14144.865497616393</v>
      </c>
      <c r="J37" s="86">
        <f>E37+I37</f>
        <v>20094.105497616394</v>
      </c>
      <c r="K37" s="87">
        <f t="shared" ref="K37:M37" si="30">K38+K39</f>
        <v>5000</v>
      </c>
      <c r="L37" s="87">
        <f t="shared" si="30"/>
        <v>4000</v>
      </c>
      <c r="M37" s="87">
        <f t="shared" si="30"/>
        <v>4000</v>
      </c>
      <c r="N37" s="76"/>
      <c r="O37" s="23"/>
    </row>
    <row r="38" spans="1:15" ht="48" x14ac:dyDescent="0.2">
      <c r="A38" s="20" t="s">
        <v>23</v>
      </c>
      <c r="B38" s="50">
        <v>392.33</v>
      </c>
      <c r="C38" s="50">
        <f>273.89+27.71</f>
        <v>301.59999999999997</v>
      </c>
      <c r="D38" s="50">
        <f>511.51+27.71</f>
        <v>539.22</v>
      </c>
      <c r="E38" s="50">
        <v>1949.24</v>
      </c>
      <c r="F38" s="50">
        <v>1247.05</v>
      </c>
      <c r="G38" s="5">
        <f t="shared" si="29"/>
        <v>0.63976216371508898</v>
      </c>
      <c r="H38" s="3">
        <f t="shared" si="4"/>
        <v>4.1347811671087538</v>
      </c>
      <c r="I38" s="4">
        <f t="shared" si="9"/>
        <v>280.31670092838226</v>
      </c>
      <c r="J38" s="4">
        <f>E38+I38</f>
        <v>2229.5567009283823</v>
      </c>
      <c r="K38" s="72">
        <v>1000</v>
      </c>
      <c r="L38" s="72">
        <v>0</v>
      </c>
      <c r="M38" s="72">
        <v>0</v>
      </c>
      <c r="N38" s="75" t="s">
        <v>117</v>
      </c>
      <c r="O38" s="13"/>
    </row>
    <row r="39" spans="1:15" ht="24" x14ac:dyDescent="0.2">
      <c r="A39" s="20" t="s">
        <v>24</v>
      </c>
      <c r="B39" s="50">
        <v>9900</v>
      </c>
      <c r="C39" s="50">
        <v>1768.12</v>
      </c>
      <c r="D39" s="50">
        <v>11108.61</v>
      </c>
      <c r="E39" s="50">
        <v>4000</v>
      </c>
      <c r="F39" s="50">
        <v>2843.44</v>
      </c>
      <c r="G39" s="5">
        <f t="shared" si="29"/>
        <v>0.71086000000000005</v>
      </c>
      <c r="H39" s="3">
        <f>F39/C39</f>
        <v>1.6081713910820534</v>
      </c>
      <c r="I39" s="4">
        <f t="shared" si="9"/>
        <v>13864.54879668801</v>
      </c>
      <c r="J39" s="4">
        <f t="shared" ref="J39:J42" si="31">E39+I39</f>
        <v>17864.54879668801</v>
      </c>
      <c r="K39" s="72">
        <v>4000</v>
      </c>
      <c r="L39" s="72">
        <v>4000</v>
      </c>
      <c r="M39" s="72">
        <v>4000</v>
      </c>
      <c r="N39" s="75" t="s">
        <v>116</v>
      </c>
      <c r="O39" s="13"/>
    </row>
    <row r="40" spans="1:15" ht="15" x14ac:dyDescent="0.2">
      <c r="A40" s="91" t="s">
        <v>25</v>
      </c>
      <c r="B40" s="83">
        <v>2552.06</v>
      </c>
      <c r="C40" s="83">
        <v>1954.23</v>
      </c>
      <c r="D40" s="83">
        <v>2628.29</v>
      </c>
      <c r="E40" s="83">
        <v>2019.49</v>
      </c>
      <c r="F40" s="83">
        <v>1383.04</v>
      </c>
      <c r="G40" s="84">
        <f t="shared" si="29"/>
        <v>0.68484617403403825</v>
      </c>
      <c r="H40" s="85">
        <f t="shared" si="4"/>
        <v>0.70771608254913698</v>
      </c>
      <c r="I40" s="86">
        <f>D40*H40-E40</f>
        <v>-159.4068973969288</v>
      </c>
      <c r="J40" s="86">
        <f>E40+I40</f>
        <v>1860.0831026030712</v>
      </c>
      <c r="K40" s="87">
        <v>1226.317</v>
      </c>
      <c r="L40" s="87">
        <v>1221.317</v>
      </c>
      <c r="M40" s="87">
        <v>1221.317</v>
      </c>
      <c r="N40" s="75"/>
      <c r="O40" s="13"/>
    </row>
    <row r="41" spans="1:15" ht="15" x14ac:dyDescent="0.2">
      <c r="A41" s="82" t="s">
        <v>26</v>
      </c>
      <c r="B41" s="83">
        <f t="shared" ref="B41:F41" si="32">B42+B43</f>
        <v>323.14</v>
      </c>
      <c r="C41" s="83">
        <f t="shared" si="32"/>
        <v>107.27</v>
      </c>
      <c r="D41" s="83">
        <f t="shared" si="32"/>
        <v>154.49</v>
      </c>
      <c r="E41" s="83">
        <f t="shared" si="32"/>
        <v>314.77999999999997</v>
      </c>
      <c r="F41" s="83">
        <f t="shared" si="32"/>
        <v>103.84</v>
      </c>
      <c r="G41" s="84">
        <f t="shared" si="29"/>
        <v>0.32988118686066464</v>
      </c>
      <c r="H41" s="85">
        <f t="shared" si="4"/>
        <v>0.96802461079518975</v>
      </c>
      <c r="I41" s="86">
        <f>I42+I43</f>
        <v>-187.8294263054897</v>
      </c>
      <c r="J41" s="86">
        <f t="shared" si="31"/>
        <v>126.95057369451027</v>
      </c>
      <c r="K41" s="87">
        <f t="shared" ref="K41:M41" si="33">K42+K43</f>
        <v>0</v>
      </c>
      <c r="L41" s="87">
        <f t="shared" si="33"/>
        <v>0</v>
      </c>
      <c r="M41" s="87">
        <f t="shared" si="33"/>
        <v>0</v>
      </c>
      <c r="N41" s="75"/>
      <c r="O41" s="13"/>
    </row>
    <row r="42" spans="1:15" ht="15" x14ac:dyDescent="0.2">
      <c r="A42" s="20" t="s">
        <v>139</v>
      </c>
      <c r="B42" s="50">
        <v>0</v>
      </c>
      <c r="C42" s="50">
        <v>41.61</v>
      </c>
      <c r="D42" s="50">
        <v>-23.73</v>
      </c>
      <c r="E42" s="50">
        <v>0</v>
      </c>
      <c r="F42" s="50">
        <v>47.16</v>
      </c>
      <c r="G42" s="5">
        <v>1</v>
      </c>
      <c r="H42" s="3">
        <f t="shared" si="4"/>
        <v>1.133381398702235</v>
      </c>
      <c r="I42" s="4">
        <f t="shared" si="9"/>
        <v>-26.895140591204036</v>
      </c>
      <c r="J42" s="4">
        <f t="shared" si="31"/>
        <v>-26.895140591204036</v>
      </c>
      <c r="K42" s="72">
        <v>0</v>
      </c>
      <c r="L42" s="72">
        <v>0</v>
      </c>
      <c r="M42" s="72">
        <v>0</v>
      </c>
      <c r="N42" s="75"/>
      <c r="O42" s="13"/>
    </row>
    <row r="43" spans="1:15" ht="15" x14ac:dyDescent="0.2">
      <c r="A43" s="20" t="s">
        <v>140</v>
      </c>
      <c r="B43" s="50">
        <v>323.14</v>
      </c>
      <c r="C43" s="50">
        <v>65.66</v>
      </c>
      <c r="D43" s="50">
        <v>178.22</v>
      </c>
      <c r="E43" s="50">
        <v>314.77999999999997</v>
      </c>
      <c r="F43" s="50">
        <v>56.68</v>
      </c>
      <c r="G43" s="5">
        <f t="shared" si="29"/>
        <v>0.18006226570938436</v>
      </c>
      <c r="H43" s="3">
        <f t="shared" si="4"/>
        <v>0.86323484617727697</v>
      </c>
      <c r="I43" s="4">
        <f t="shared" si="9"/>
        <v>-160.93428571428566</v>
      </c>
      <c r="J43" s="4">
        <f>E43+I43</f>
        <v>153.84571428571431</v>
      </c>
      <c r="K43" s="72">
        <v>0</v>
      </c>
      <c r="L43" s="72">
        <v>0</v>
      </c>
      <c r="M43" s="72">
        <v>0</v>
      </c>
      <c r="N43" s="75"/>
      <c r="O43" s="13"/>
    </row>
    <row r="44" spans="1:15" ht="15.75" x14ac:dyDescent="0.2">
      <c r="A44" s="107" t="s">
        <v>132</v>
      </c>
      <c r="B44" s="110">
        <f>B45</f>
        <v>1000</v>
      </c>
      <c r="C44" s="110">
        <f t="shared" ref="C44:F44" si="34">C45</f>
        <v>368.14</v>
      </c>
      <c r="D44" s="110">
        <f t="shared" si="34"/>
        <v>636.48</v>
      </c>
      <c r="E44" s="110">
        <f t="shared" si="34"/>
        <v>1176.57</v>
      </c>
      <c r="F44" s="110">
        <f t="shared" si="34"/>
        <v>419.58</v>
      </c>
      <c r="G44" s="109">
        <f t="shared" si="29"/>
        <v>0.35661286621280502</v>
      </c>
      <c r="H44" s="109">
        <f>F44/C44</f>
        <v>1.1397294507524312</v>
      </c>
      <c r="I44" s="110">
        <f>D44*H44-E44</f>
        <v>-451.15499918509249</v>
      </c>
      <c r="J44" s="110">
        <f>E44+I44</f>
        <v>725.41500081490744</v>
      </c>
      <c r="K44" s="110">
        <f>K45</f>
        <v>1000</v>
      </c>
      <c r="L44" s="110">
        <f t="shared" ref="L44:M44" si="35">L45</f>
        <v>1000</v>
      </c>
      <c r="M44" s="110">
        <f t="shared" si="35"/>
        <v>1000</v>
      </c>
      <c r="N44" s="75"/>
      <c r="O44" s="13"/>
    </row>
    <row r="45" spans="1:15" ht="15" x14ac:dyDescent="0.2">
      <c r="A45" s="82" t="s">
        <v>165</v>
      </c>
      <c r="B45" s="83">
        <v>1000</v>
      </c>
      <c r="C45" s="83">
        <v>368.14</v>
      </c>
      <c r="D45" s="83">
        <v>636.48</v>
      </c>
      <c r="E45" s="83">
        <v>1176.57</v>
      </c>
      <c r="F45" s="83">
        <v>419.58</v>
      </c>
      <c r="G45" s="84">
        <f t="shared" si="29"/>
        <v>0.35661286621280502</v>
      </c>
      <c r="H45" s="85">
        <f t="shared" si="4"/>
        <v>1.1397294507524312</v>
      </c>
      <c r="I45" s="86">
        <f t="shared" si="9"/>
        <v>-451.15499918509249</v>
      </c>
      <c r="J45" s="86">
        <f>E45+I45</f>
        <v>725.41500081490744</v>
      </c>
      <c r="K45" s="87">
        <v>1000</v>
      </c>
      <c r="L45" s="87">
        <v>1000</v>
      </c>
      <c r="M45" s="87">
        <v>1000</v>
      </c>
      <c r="N45" s="75" t="s">
        <v>137</v>
      </c>
      <c r="O45" s="13"/>
    </row>
    <row r="46" spans="1:15" s="90" customFormat="1" ht="15.75" x14ac:dyDescent="0.2">
      <c r="A46" s="105" t="s">
        <v>28</v>
      </c>
      <c r="B46" s="106">
        <f>B6+B44</f>
        <v>315199.04000000004</v>
      </c>
      <c r="C46" s="106">
        <f t="shared" ref="C46:F46" si="36">C6+C44</f>
        <v>182102.9</v>
      </c>
      <c r="D46" s="106">
        <f t="shared" si="36"/>
        <v>329166.03999999998</v>
      </c>
      <c r="E46" s="106">
        <f t="shared" si="36"/>
        <v>332539.36000000004</v>
      </c>
      <c r="F46" s="106">
        <f t="shared" si="36"/>
        <v>215207.79</v>
      </c>
      <c r="G46" s="111">
        <f t="shared" si="29"/>
        <v>0.64716486493508607</v>
      </c>
      <c r="H46" s="112">
        <f t="shared" si="4"/>
        <v>1.1817922174770419</v>
      </c>
      <c r="I46" s="106">
        <f t="shared" ref="I46" si="37">I6+I44</f>
        <v>52877.728168255278</v>
      </c>
      <c r="J46" s="106">
        <f>J6+J44</f>
        <v>356116.56816825527</v>
      </c>
      <c r="K46" s="106">
        <f>K6+K44</f>
        <v>330682.68458999996</v>
      </c>
      <c r="L46" s="106">
        <f>L6+L44</f>
        <v>344259.20900999999</v>
      </c>
      <c r="M46" s="106">
        <f>M6+M44</f>
        <v>359366.41001000011</v>
      </c>
      <c r="N46" s="88"/>
      <c r="O46" s="89"/>
    </row>
    <row r="48" spans="1:15" ht="89.25" x14ac:dyDescent="0.2">
      <c r="A48" s="113" t="s">
        <v>135</v>
      </c>
      <c r="B48" s="113" t="s">
        <v>96</v>
      </c>
      <c r="C48" s="113" t="s">
        <v>102</v>
      </c>
      <c r="D48" s="113" t="s">
        <v>103</v>
      </c>
      <c r="E48" s="113" t="s">
        <v>133</v>
      </c>
      <c r="F48" s="113" t="s">
        <v>134</v>
      </c>
      <c r="G48" s="115" t="s">
        <v>104</v>
      </c>
      <c r="H48" s="115" t="s">
        <v>105</v>
      </c>
      <c r="I48" s="115" t="s">
        <v>1</v>
      </c>
      <c r="J48" s="115" t="s">
        <v>106</v>
      </c>
      <c r="K48" s="115" t="s">
        <v>45</v>
      </c>
      <c r="L48" s="115" t="s">
        <v>97</v>
      </c>
      <c r="M48" s="115" t="s">
        <v>107</v>
      </c>
    </row>
    <row r="49" spans="1:13" x14ac:dyDescent="0.2">
      <c r="A49" s="118">
        <v>1000</v>
      </c>
      <c r="B49" s="114">
        <f>B6-B21-B24-B29-B30-B33-B36</f>
        <v>292421.53000000003</v>
      </c>
      <c r="C49" s="114">
        <f t="shared" ref="C49:F49" si="38">C6-C21-C24-C29-C30-C33-C36</f>
        <v>171522.48999999996</v>
      </c>
      <c r="D49" s="114">
        <f t="shared" si="38"/>
        <v>307661.92</v>
      </c>
      <c r="E49" s="114">
        <f t="shared" si="38"/>
        <v>303733.41000000003</v>
      </c>
      <c r="F49" s="114">
        <f t="shared" si="38"/>
        <v>199550.52</v>
      </c>
      <c r="G49" s="114">
        <f t="shared" ref="G49:G50" si="39">F49/E49</f>
        <v>0.65699232758095316</v>
      </c>
      <c r="H49" s="114">
        <f t="shared" ref="H49:H50" si="40">F49/C49</f>
        <v>1.1634073176059887</v>
      </c>
      <c r="I49" s="114">
        <f t="shared" ref="I49:I50" si="41">D49*H49-E49</f>
        <v>54202.71907670825</v>
      </c>
      <c r="J49" s="114">
        <f>E49+I49</f>
        <v>357936.12907670828</v>
      </c>
      <c r="K49" s="114">
        <f>K6-K21-K24-K29-K30-K33-K36</f>
        <v>299427.14130999998</v>
      </c>
      <c r="L49" s="114">
        <f t="shared" ref="L49:M49" si="42">L6-L21-L24-L29-L30-L33-L36</f>
        <v>312989.17272999999</v>
      </c>
      <c r="M49" s="114">
        <f t="shared" si="42"/>
        <v>328081.44673000008</v>
      </c>
    </row>
    <row r="50" spans="1:13" x14ac:dyDescent="0.2">
      <c r="A50" s="118">
        <v>8000</v>
      </c>
      <c r="B50" s="114">
        <f>B29+B30+B33+B36+B45</f>
        <v>18777.509999999998</v>
      </c>
      <c r="C50" s="114">
        <f t="shared" ref="C50:F50" si="43">C29+C30+C33+C36+C45</f>
        <v>8252.59</v>
      </c>
      <c r="D50" s="114">
        <f t="shared" si="43"/>
        <v>17775.68</v>
      </c>
      <c r="E50" s="114">
        <f t="shared" si="43"/>
        <v>25905.95</v>
      </c>
      <c r="F50" s="114">
        <f t="shared" si="43"/>
        <v>14090.920000000002</v>
      </c>
      <c r="G50" s="114">
        <f t="shared" si="39"/>
        <v>0.54392600927586143</v>
      </c>
      <c r="H50" s="114">
        <f t="shared" si="40"/>
        <v>1.7074542658728959</v>
      </c>
      <c r="I50" s="114">
        <f t="shared" si="41"/>
        <v>4445.2106447915176</v>
      </c>
      <c r="J50" s="114">
        <f t="shared" ref="J50:J51" si="44">E50+I50</f>
        <v>30351.160644791518</v>
      </c>
      <c r="K50" s="114">
        <f t="shared" ref="K50:M50" si="45">K29+K30+K33+K36+K45</f>
        <v>27913.917140000001</v>
      </c>
      <c r="L50" s="114">
        <f t="shared" si="45"/>
        <v>27928.41014</v>
      </c>
      <c r="M50" s="114">
        <f t="shared" si="45"/>
        <v>27943.33714</v>
      </c>
    </row>
    <row r="51" spans="1:13" x14ac:dyDescent="0.2">
      <c r="A51" s="118">
        <v>9000</v>
      </c>
      <c r="B51" s="114">
        <f>B21+B24</f>
        <v>4000</v>
      </c>
      <c r="C51" s="114">
        <f t="shared" ref="C51:F51" si="46">C21+C24</f>
        <v>2327.8200000000002</v>
      </c>
      <c r="D51" s="114">
        <f t="shared" si="46"/>
        <v>3728.44</v>
      </c>
      <c r="E51" s="114">
        <f t="shared" si="46"/>
        <v>2900</v>
      </c>
      <c r="F51" s="114">
        <f t="shared" si="46"/>
        <v>1566.35</v>
      </c>
      <c r="G51" s="114">
        <f>F51/E51</f>
        <v>0.54012068965517235</v>
      </c>
      <c r="H51" s="114">
        <f>F51/C51</f>
        <v>0.67288278303305227</v>
      </c>
      <c r="I51" s="114">
        <f>D51*H51-E51</f>
        <v>-391.19691642824637</v>
      </c>
      <c r="J51" s="114">
        <f t="shared" si="44"/>
        <v>2508.8030835717536</v>
      </c>
      <c r="K51" s="114">
        <f t="shared" ref="K51:M51" si="47">K21+K24</f>
        <v>3341.6261400000003</v>
      </c>
      <c r="L51" s="114">
        <f t="shared" si="47"/>
        <v>3341.6261400000003</v>
      </c>
      <c r="M51" s="114">
        <f t="shared" si="47"/>
        <v>3341.6261400000003</v>
      </c>
    </row>
    <row r="54" spans="1:13" x14ac:dyDescent="0.2">
      <c r="A54" s="122" t="s">
        <v>121</v>
      </c>
      <c r="B54" s="123"/>
      <c r="C54" s="123"/>
      <c r="D54" s="130"/>
    </row>
    <row r="55" spans="1:13" x14ac:dyDescent="0.2">
      <c r="A55" s="100" t="s">
        <v>125</v>
      </c>
      <c r="B55" s="100">
        <v>2022</v>
      </c>
      <c r="C55" s="100">
        <v>2023</v>
      </c>
      <c r="D55" s="100">
        <v>2024</v>
      </c>
    </row>
    <row r="56" spans="1:13" ht="15" x14ac:dyDescent="0.2">
      <c r="A56" s="120" t="s">
        <v>120</v>
      </c>
      <c r="B56" s="101">
        <f>0.84+0.12+3+5.25</f>
        <v>9.2100000000000009</v>
      </c>
      <c r="C56" s="101">
        <f t="shared" ref="C56:D56" si="48">0.84+0.12+3+5.25</f>
        <v>9.2100000000000009</v>
      </c>
      <c r="D56" s="101">
        <f t="shared" si="48"/>
        <v>9.2100000000000009</v>
      </c>
      <c r="F56" s="30"/>
    </row>
    <row r="57" spans="1:13" x14ac:dyDescent="0.2">
      <c r="A57" s="98" t="s">
        <v>122</v>
      </c>
      <c r="B57" s="101">
        <v>12.106999999999999</v>
      </c>
      <c r="C57" s="101">
        <v>12.106999999999999</v>
      </c>
      <c r="D57" s="101">
        <v>12.106999999999999</v>
      </c>
    </row>
    <row r="58" spans="1:13" x14ac:dyDescent="0.2">
      <c r="A58" s="98" t="s">
        <v>123</v>
      </c>
      <c r="B58" s="101">
        <v>5</v>
      </c>
      <c r="C58" s="101">
        <v>0</v>
      </c>
      <c r="D58" s="101">
        <v>0</v>
      </c>
    </row>
    <row r="59" spans="1:13" ht="15.75" customHeight="1" x14ac:dyDescent="0.2">
      <c r="A59" s="99" t="s">
        <v>126</v>
      </c>
      <c r="B59" s="101">
        <v>600</v>
      </c>
      <c r="C59" s="101">
        <v>600</v>
      </c>
      <c r="D59" s="101">
        <v>600</v>
      </c>
    </row>
    <row r="60" spans="1:13" ht="15" x14ac:dyDescent="0.2">
      <c r="A60" s="155" t="s">
        <v>124</v>
      </c>
      <c r="B60" s="101">
        <v>0</v>
      </c>
      <c r="C60" s="101">
        <v>0</v>
      </c>
      <c r="D60" s="101">
        <v>0</v>
      </c>
      <c r="F60" s="30"/>
    </row>
    <row r="61" spans="1:13" ht="15" x14ac:dyDescent="0.2">
      <c r="A61" s="156"/>
      <c r="B61" s="101">
        <v>600</v>
      </c>
      <c r="C61" s="101">
        <v>600</v>
      </c>
      <c r="D61" s="101">
        <v>600</v>
      </c>
      <c r="E61" s="15" t="s">
        <v>164</v>
      </c>
      <c r="F61" s="30"/>
    </row>
    <row r="62" spans="1:13" ht="15" x14ac:dyDescent="0.2">
      <c r="A62" s="99" t="s">
        <v>127</v>
      </c>
      <c r="B62" s="101">
        <v>0</v>
      </c>
      <c r="C62" s="101">
        <v>0</v>
      </c>
      <c r="D62" s="101">
        <v>0</v>
      </c>
      <c r="F62" s="30"/>
      <c r="K62" s="125"/>
    </row>
    <row r="63" spans="1:13" ht="15" x14ac:dyDescent="0.2">
      <c r="A63" s="102" t="s">
        <v>128</v>
      </c>
      <c r="B63" s="101"/>
      <c r="C63" s="101"/>
      <c r="D63" s="101"/>
      <c r="F63" s="30"/>
      <c r="K63" s="125"/>
      <c r="L63" s="125"/>
    </row>
    <row r="64" spans="1:13" ht="15" x14ac:dyDescent="0.2">
      <c r="A64" s="103" t="s">
        <v>82</v>
      </c>
      <c r="B64" s="104">
        <f>SUM(B56:B63)</f>
        <v>1226.317</v>
      </c>
      <c r="C64" s="104">
        <f>SUM(C56:C63)</f>
        <v>1221.317</v>
      </c>
      <c r="D64" s="104">
        <f>SUM(D56:D63)</f>
        <v>1221.317</v>
      </c>
      <c r="F64" s="30"/>
      <c r="K64" s="125"/>
      <c r="L64" s="125"/>
    </row>
    <row r="65" spans="2:14" ht="15" x14ac:dyDescent="0.2">
      <c r="D65" s="30"/>
      <c r="E65" s="30"/>
      <c r="F65" s="30"/>
      <c r="K65" s="125"/>
      <c r="L65" s="125"/>
    </row>
    <row r="66" spans="2:14" ht="15" x14ac:dyDescent="0.2">
      <c r="D66" s="30"/>
      <c r="E66" s="30"/>
      <c r="F66" s="30"/>
      <c r="K66" s="125"/>
      <c r="L66" s="125"/>
    </row>
    <row r="67" spans="2:14" x14ac:dyDescent="0.2">
      <c r="B67" s="157" t="s">
        <v>141</v>
      </c>
      <c r="C67" s="157"/>
      <c r="D67" s="157"/>
      <c r="E67" s="157"/>
      <c r="F67" s="119"/>
      <c r="K67" s="125"/>
      <c r="L67" s="125"/>
    </row>
    <row r="68" spans="2:14" x14ac:dyDescent="0.2">
      <c r="B68" s="100" t="s">
        <v>142</v>
      </c>
      <c r="C68" s="100" t="s">
        <v>144</v>
      </c>
      <c r="D68" s="100" t="s">
        <v>145</v>
      </c>
      <c r="E68" s="100" t="s">
        <v>146</v>
      </c>
      <c r="G68" s="125"/>
      <c r="H68" s="125"/>
      <c r="I68" s="125"/>
      <c r="J68" s="125"/>
      <c r="K68" s="12"/>
      <c r="L68" s="125"/>
      <c r="N68" s="15"/>
    </row>
    <row r="69" spans="2:14" x14ac:dyDescent="0.2">
      <c r="B69" s="116">
        <v>2018</v>
      </c>
      <c r="C69" s="117">
        <v>1298.7242200000001</v>
      </c>
      <c r="D69" s="117">
        <v>3095.0736200000001</v>
      </c>
      <c r="E69" s="117">
        <v>25.090450000000001</v>
      </c>
      <c r="G69" s="125"/>
      <c r="H69" s="125"/>
      <c r="I69" s="125"/>
      <c r="J69" s="125"/>
      <c r="K69" s="12"/>
      <c r="L69" s="125"/>
      <c r="N69" s="15"/>
    </row>
    <row r="70" spans="2:14" x14ac:dyDescent="0.2">
      <c r="B70" s="116">
        <v>2019</v>
      </c>
      <c r="C70" s="117">
        <v>1156.58518</v>
      </c>
      <c r="D70" s="117">
        <v>3176.2710299999999</v>
      </c>
      <c r="E70" s="117">
        <v>0</v>
      </c>
      <c r="G70" s="125"/>
      <c r="H70" s="125"/>
      <c r="I70" s="125"/>
      <c r="J70" s="125"/>
      <c r="K70" s="12"/>
      <c r="L70" s="125"/>
      <c r="N70" s="15"/>
    </row>
    <row r="71" spans="2:14" x14ac:dyDescent="0.2">
      <c r="B71" s="116">
        <v>2020</v>
      </c>
      <c r="C71" s="117">
        <v>2372.2479699999999</v>
      </c>
      <c r="D71" s="117">
        <v>3650.8133699999998</v>
      </c>
      <c r="E71" s="117">
        <v>77.629949999999994</v>
      </c>
      <c r="G71" s="125"/>
      <c r="H71" s="125"/>
      <c r="I71" s="125"/>
      <c r="J71" s="125"/>
      <c r="K71" s="12"/>
      <c r="L71" s="125"/>
      <c r="N71" s="15"/>
    </row>
    <row r="72" spans="2:14" x14ac:dyDescent="0.2">
      <c r="B72" s="116" t="s">
        <v>143</v>
      </c>
      <c r="C72" s="124">
        <f>(C69+C70+C71)/3</f>
        <v>1609.1857900000002</v>
      </c>
      <c r="D72" s="124">
        <f t="shared" ref="D72:E72" si="49">(D69+D70+D71)/3</f>
        <v>3307.3860066666662</v>
      </c>
      <c r="E72" s="124">
        <f t="shared" si="49"/>
        <v>34.240133333333333</v>
      </c>
      <c r="K72" s="12"/>
      <c r="N72" s="15"/>
    </row>
    <row r="75" spans="2:14" x14ac:dyDescent="0.2">
      <c r="B75" s="148" t="s">
        <v>156</v>
      </c>
      <c r="C75" s="149"/>
      <c r="D75" s="149"/>
      <c r="E75" s="150"/>
    </row>
    <row r="76" spans="2:14" x14ac:dyDescent="0.2">
      <c r="B76" s="100" t="s">
        <v>142</v>
      </c>
      <c r="C76" s="100" t="s">
        <v>160</v>
      </c>
      <c r="D76" s="100" t="s">
        <v>161</v>
      </c>
      <c r="E76" s="100" t="s">
        <v>162</v>
      </c>
    </row>
    <row r="77" spans="2:14" x14ac:dyDescent="0.2">
      <c r="B77" s="118" t="s">
        <v>157</v>
      </c>
      <c r="C77" s="117">
        <v>251738.57</v>
      </c>
      <c r="D77" s="126">
        <v>1.05</v>
      </c>
      <c r="E77" s="117">
        <f>C77*D77</f>
        <v>264325.49850000005</v>
      </c>
    </row>
    <row r="78" spans="2:14" x14ac:dyDescent="0.2">
      <c r="B78" s="118" t="s">
        <v>158</v>
      </c>
      <c r="C78" s="117">
        <f>E77</f>
        <v>264325.49850000005</v>
      </c>
      <c r="D78" s="126">
        <v>1.0529999999999999</v>
      </c>
      <c r="E78" s="117">
        <f t="shared" ref="E78:E79" si="50">C78*D78</f>
        <v>278334.74992050003</v>
      </c>
    </row>
    <row r="79" spans="2:14" x14ac:dyDescent="0.2">
      <c r="B79" s="118" t="s">
        <v>159</v>
      </c>
      <c r="C79" s="117">
        <f>E78</f>
        <v>278334.74992050003</v>
      </c>
      <c r="D79" s="126">
        <v>1.056</v>
      </c>
      <c r="E79" s="117">
        <f t="shared" si="50"/>
        <v>293921.49591604806</v>
      </c>
    </row>
    <row r="82" spans="2:5" x14ac:dyDescent="0.2">
      <c r="B82" s="148" t="s">
        <v>147</v>
      </c>
      <c r="C82" s="149"/>
      <c r="D82" s="149"/>
      <c r="E82" s="150"/>
    </row>
    <row r="83" spans="2:5" x14ac:dyDescent="0.2">
      <c r="B83" s="152" t="s">
        <v>167</v>
      </c>
      <c r="C83" s="152"/>
      <c r="D83" s="152"/>
      <c r="E83" s="117">
        <v>6008</v>
      </c>
    </row>
    <row r="84" spans="2:5" x14ac:dyDescent="0.2">
      <c r="B84" s="152" t="s">
        <v>168</v>
      </c>
      <c r="C84" s="152"/>
      <c r="D84" s="152"/>
      <c r="E84" s="117">
        <v>3511</v>
      </c>
    </row>
    <row r="85" spans="2:5" x14ac:dyDescent="0.2">
      <c r="B85" s="152" t="s">
        <v>169</v>
      </c>
      <c r="C85" s="152"/>
      <c r="D85" s="152"/>
      <c r="E85" s="133">
        <v>0.06</v>
      </c>
    </row>
    <row r="86" spans="2:5" x14ac:dyDescent="0.2">
      <c r="B86" s="152" t="s">
        <v>170</v>
      </c>
      <c r="C86" s="152"/>
      <c r="D86" s="152"/>
      <c r="E86" s="133">
        <v>0.7</v>
      </c>
    </row>
    <row r="87" spans="2:5" x14ac:dyDescent="0.2">
      <c r="B87" s="151" t="s">
        <v>162</v>
      </c>
      <c r="C87" s="151"/>
      <c r="D87" s="151"/>
      <c r="E87" s="124">
        <f>(E83-E84)*E85*E86</f>
        <v>104.874</v>
      </c>
    </row>
    <row r="90" spans="2:5" x14ac:dyDescent="0.2">
      <c r="B90" s="148" t="s">
        <v>172</v>
      </c>
      <c r="C90" s="149"/>
      <c r="D90" s="150"/>
    </row>
    <row r="91" spans="2:5" x14ac:dyDescent="0.2">
      <c r="B91" s="118" t="s">
        <v>176</v>
      </c>
      <c r="C91" s="118" t="s">
        <v>174</v>
      </c>
      <c r="D91" s="118" t="s">
        <v>175</v>
      </c>
    </row>
    <row r="92" spans="2:5" x14ac:dyDescent="0.2">
      <c r="B92" s="118">
        <v>2018</v>
      </c>
      <c r="C92" s="117">
        <v>403.75411000000003</v>
      </c>
      <c r="D92" s="134"/>
    </row>
    <row r="93" spans="2:5" x14ac:dyDescent="0.2">
      <c r="B93" s="118">
        <v>2019</v>
      </c>
      <c r="C93" s="117">
        <v>609.35068999999999</v>
      </c>
      <c r="D93" s="134">
        <f>C93/C92</f>
        <v>1.5092123520426826</v>
      </c>
    </row>
    <row r="94" spans="2:5" x14ac:dyDescent="0.2">
      <c r="B94" s="118">
        <v>2020</v>
      </c>
      <c r="C94" s="117">
        <v>868.12351000000001</v>
      </c>
      <c r="D94" s="134">
        <f>C94/C93</f>
        <v>1.424669774313376</v>
      </c>
    </row>
    <row r="95" spans="2:5" x14ac:dyDescent="0.2">
      <c r="B95" s="118" t="s">
        <v>173</v>
      </c>
      <c r="C95" s="124">
        <f>(C92+C93+C94)/3</f>
        <v>627.07610333333332</v>
      </c>
      <c r="D95" s="135">
        <f>(D93+D94)/2</f>
        <v>1.4669410631780293</v>
      </c>
    </row>
    <row r="96" spans="2:5" x14ac:dyDescent="0.2">
      <c r="B96" s="118" t="s">
        <v>162</v>
      </c>
      <c r="C96" s="124">
        <f>C94*D95</f>
        <v>1273.4860247292427</v>
      </c>
      <c r="D96" s="135"/>
    </row>
  </sheetData>
  <mergeCells count="12">
    <mergeCell ref="B83:D83"/>
    <mergeCell ref="B82:E82"/>
    <mergeCell ref="A2:M2"/>
    <mergeCell ref="A3:G3"/>
    <mergeCell ref="B75:E75"/>
    <mergeCell ref="A60:A61"/>
    <mergeCell ref="B67:E67"/>
    <mergeCell ref="B90:D90"/>
    <mergeCell ref="B87:D87"/>
    <mergeCell ref="B86:D86"/>
    <mergeCell ref="B85:D85"/>
    <mergeCell ref="B84:D84"/>
  </mergeCells>
  <pageMargins left="0.7" right="0.7" top="0.75" bottom="0.75" header="0.3" footer="0.3"/>
  <pageSetup paperSize="9" scale="47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zoomScaleSheetLayoutView="80" workbookViewId="0">
      <selection activeCell="K7" sqref="K7"/>
    </sheetView>
  </sheetViews>
  <sheetFormatPr defaultColWidth="9.33203125" defaultRowHeight="12.75" x14ac:dyDescent="0.2"/>
  <cols>
    <col min="1" max="1" width="68.5" style="15" customWidth="1"/>
    <col min="2" max="2" width="23.6640625" style="15" bestFit="1" customWidth="1"/>
    <col min="3" max="3" width="21.5" style="15" customWidth="1"/>
    <col min="4" max="4" width="23" style="15" customWidth="1"/>
    <col min="5" max="6" width="19.1640625" style="15" customWidth="1"/>
    <col min="7" max="8" width="17.83203125" style="15" customWidth="1"/>
    <col min="9" max="9" width="19.1640625" style="15" customWidth="1"/>
    <col min="10" max="10" width="24.5" style="15" customWidth="1"/>
    <col min="11" max="11" width="18.6640625" style="15" customWidth="1"/>
    <col min="12" max="12" width="16.1640625" style="15" customWidth="1"/>
    <col min="13" max="13" width="18.6640625" style="15" customWidth="1"/>
    <col min="14" max="14" width="32.33203125" style="12" customWidth="1"/>
    <col min="15" max="15" width="19.6640625" style="15" customWidth="1"/>
    <col min="16" max="16" width="14.6640625" style="15" customWidth="1"/>
    <col min="17" max="16384" width="9.33203125" style="15"/>
  </cols>
  <sheetData>
    <row r="1" spans="1:15" ht="15" x14ac:dyDescent="0.2">
      <c r="D1" s="25"/>
      <c r="E1" s="25"/>
      <c r="F1" s="25"/>
      <c r="G1" s="25"/>
      <c r="H1" s="25"/>
      <c r="I1" s="25"/>
      <c r="J1" s="25"/>
      <c r="K1" s="25"/>
      <c r="L1" s="25"/>
      <c r="M1" s="25"/>
      <c r="O1" s="12"/>
    </row>
    <row r="2" spans="1:15" ht="18.75" x14ac:dyDescent="0.2">
      <c r="A2" s="153" t="s">
        <v>186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O2" s="12"/>
    </row>
    <row r="3" spans="1:15" ht="15.75" x14ac:dyDescent="0.2">
      <c r="A3" s="154"/>
      <c r="B3" s="154"/>
      <c r="C3" s="154"/>
      <c r="D3" s="154"/>
      <c r="E3" s="154"/>
      <c r="F3" s="154"/>
      <c r="G3" s="154"/>
      <c r="H3" s="139"/>
      <c r="I3" s="139"/>
      <c r="J3" s="139"/>
      <c r="K3" s="139"/>
      <c r="L3" s="139"/>
      <c r="M3" s="139"/>
      <c r="O3" s="12"/>
    </row>
    <row r="4" spans="1:15" x14ac:dyDescent="0.2">
      <c r="A4" s="16"/>
      <c r="B4" s="1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O4" s="12"/>
    </row>
    <row r="5" spans="1:15" ht="72" x14ac:dyDescent="0.2">
      <c r="A5" s="77" t="s">
        <v>0</v>
      </c>
      <c r="B5" s="78" t="s">
        <v>189</v>
      </c>
      <c r="C5" s="78" t="s">
        <v>190</v>
      </c>
      <c r="D5" s="78" t="s">
        <v>191</v>
      </c>
      <c r="E5" s="79" t="s">
        <v>198</v>
      </c>
      <c r="F5" s="79" t="s">
        <v>193</v>
      </c>
      <c r="G5" s="74" t="s">
        <v>194</v>
      </c>
      <c r="H5" s="74" t="s">
        <v>195</v>
      </c>
      <c r="I5" s="74" t="s">
        <v>1</v>
      </c>
      <c r="J5" s="74" t="s">
        <v>187</v>
      </c>
      <c r="K5" s="80" t="s">
        <v>188</v>
      </c>
      <c r="L5" s="74" t="s">
        <v>108</v>
      </c>
      <c r="M5" s="12"/>
      <c r="N5" s="15"/>
    </row>
    <row r="6" spans="1:15" ht="15.75" x14ac:dyDescent="0.2">
      <c r="A6" s="107" t="s">
        <v>8</v>
      </c>
      <c r="B6" s="108">
        <f>B7+B8+B11+B13+B17+B22+B25+B27</f>
        <v>1905000</v>
      </c>
      <c r="C6" s="108">
        <f t="shared" ref="C6:F6" si="0">C7+C8+C11+C13+C17+C22+C25+C27</f>
        <v>1185163.3900000001</v>
      </c>
      <c r="D6" s="108">
        <f t="shared" si="0"/>
        <v>2088951.0499999998</v>
      </c>
      <c r="E6" s="108">
        <f t="shared" si="0"/>
        <v>2006260</v>
      </c>
      <c r="F6" s="108">
        <f t="shared" si="0"/>
        <v>1425836.08</v>
      </c>
      <c r="G6" s="109">
        <f>F6/E6</f>
        <v>0.71069356912862747</v>
      </c>
      <c r="H6" s="109">
        <f>F6/C6</f>
        <v>1.2030713166055524</v>
      </c>
      <c r="I6" s="108">
        <f t="shared" ref="I6" si="1">I7+I8+I11+I13+I17+I22+I27</f>
        <v>-351902.87386118231</v>
      </c>
      <c r="J6" s="108">
        <f t="shared" ref="J6:J12" si="2">E6+I6</f>
        <v>1654357.1261388178</v>
      </c>
      <c r="K6" s="108">
        <f>K7+K8+K11+K13+K17+K19+K22+K25+K27</f>
        <v>2076928.72</v>
      </c>
      <c r="L6" s="73"/>
      <c r="M6" s="12"/>
      <c r="N6" s="15"/>
    </row>
    <row r="7" spans="1:15" ht="15" x14ac:dyDescent="0.2">
      <c r="A7" s="91" t="s">
        <v>38</v>
      </c>
      <c r="B7" s="83">
        <v>280000</v>
      </c>
      <c r="C7" s="83">
        <v>183789.82</v>
      </c>
      <c r="D7" s="83">
        <v>265285.11</v>
      </c>
      <c r="E7" s="83">
        <v>345960</v>
      </c>
      <c r="F7" s="83">
        <v>295897.03000000003</v>
      </c>
      <c r="G7" s="84">
        <f>F7/E7</f>
        <v>0.85529260608162805</v>
      </c>
      <c r="H7" s="85">
        <f>F7/C7</f>
        <v>1.6099750791420331</v>
      </c>
      <c r="I7" s="86">
        <f>D7*H7-E7</f>
        <v>81142.415967452922</v>
      </c>
      <c r="J7" s="86">
        <f t="shared" si="2"/>
        <v>427102.41596745292</v>
      </c>
      <c r="K7" s="87">
        <f>E49</f>
        <v>374328.72000000003</v>
      </c>
      <c r="L7" s="141"/>
      <c r="M7" s="13"/>
      <c r="N7" s="28"/>
      <c r="O7" s="28"/>
    </row>
    <row r="8" spans="1:15" ht="24" x14ac:dyDescent="0.2">
      <c r="A8" s="82" t="s">
        <v>98</v>
      </c>
      <c r="B8" s="83">
        <f>SUM(B9:B10)</f>
        <v>920000</v>
      </c>
      <c r="C8" s="83">
        <f t="shared" ref="C8:F8" si="3">SUM(C9:C10)</f>
        <v>714032.27</v>
      </c>
      <c r="D8" s="83">
        <f t="shared" si="3"/>
        <v>989969.06</v>
      </c>
      <c r="E8" s="83">
        <f t="shared" si="3"/>
        <v>960000</v>
      </c>
      <c r="F8" s="83">
        <f t="shared" si="3"/>
        <v>686427.96</v>
      </c>
      <c r="G8" s="84">
        <f>F8/E8</f>
        <v>0.71502912499999993</v>
      </c>
      <c r="H8" s="85">
        <f>F8/C8</f>
        <v>0.96134024866971346</v>
      </c>
      <c r="I8" s="86">
        <f>D8*H8-E8</f>
        <v>-8302.897684277501</v>
      </c>
      <c r="J8" s="86">
        <f t="shared" si="2"/>
        <v>951697.1023157225</v>
      </c>
      <c r="K8" s="144">
        <f>SUM(K9:K10)</f>
        <v>1114700</v>
      </c>
      <c r="L8" s="141"/>
      <c r="M8" s="13"/>
      <c r="N8" s="28"/>
      <c r="O8" s="28"/>
    </row>
    <row r="9" spans="1:15" ht="24" x14ac:dyDescent="0.2">
      <c r="A9" s="20" t="s">
        <v>205</v>
      </c>
      <c r="B9" s="50">
        <v>920000</v>
      </c>
      <c r="C9" s="50">
        <v>714032.27</v>
      </c>
      <c r="D9" s="50">
        <v>989969.06</v>
      </c>
      <c r="E9" s="50">
        <v>960000</v>
      </c>
      <c r="F9" s="50">
        <v>686427.96</v>
      </c>
      <c r="G9" s="5">
        <f>F9/E9</f>
        <v>0.71502912499999993</v>
      </c>
      <c r="H9" s="3">
        <f>F9/C9</f>
        <v>0.96134024866971346</v>
      </c>
      <c r="I9" s="4">
        <f>D9*H9-E9</f>
        <v>-8302.897684277501</v>
      </c>
      <c r="J9" s="4">
        <f t="shared" si="2"/>
        <v>951697.1023157225</v>
      </c>
      <c r="K9" s="24">
        <v>1104700</v>
      </c>
      <c r="L9" s="141"/>
      <c r="M9" s="13"/>
      <c r="N9" s="28"/>
      <c r="O9" s="28"/>
    </row>
    <row r="10" spans="1:15" ht="15" x14ac:dyDescent="0.2">
      <c r="A10" s="20" t="s">
        <v>206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" t="e">
        <f>F10/E10</f>
        <v>#DIV/0!</v>
      </c>
      <c r="H10" s="3" t="e">
        <f>F10/C10</f>
        <v>#DIV/0!</v>
      </c>
      <c r="I10" s="4" t="e">
        <f>D10*H10-E10</f>
        <v>#DIV/0!</v>
      </c>
      <c r="J10" s="4" t="e">
        <f t="shared" si="2"/>
        <v>#DIV/0!</v>
      </c>
      <c r="K10" s="24">
        <v>10000</v>
      </c>
      <c r="L10" s="141"/>
      <c r="M10" s="13"/>
      <c r="N10" s="28"/>
      <c r="O10" s="28"/>
    </row>
    <row r="11" spans="1:15" ht="15" x14ac:dyDescent="0.2">
      <c r="A11" s="82" t="s">
        <v>37</v>
      </c>
      <c r="B11" s="83">
        <f t="shared" ref="B11:E11" si="4">SUM(B12)</f>
        <v>10000</v>
      </c>
      <c r="C11" s="83">
        <f t="shared" si="4"/>
        <v>-70.5</v>
      </c>
      <c r="D11" s="83">
        <f t="shared" si="4"/>
        <v>-70.5</v>
      </c>
      <c r="E11" s="83">
        <f t="shared" si="4"/>
        <v>0</v>
      </c>
      <c r="F11" s="83">
        <f>SUM(F12)</f>
        <v>0</v>
      </c>
      <c r="G11" s="84" t="e">
        <f t="shared" ref="G11:G24" si="5">F11/E11</f>
        <v>#DIV/0!</v>
      </c>
      <c r="H11" s="85">
        <f t="shared" ref="H11:H32" si="6">F11/C11</f>
        <v>0</v>
      </c>
      <c r="I11" s="86">
        <f>SUM(I12)</f>
        <v>0</v>
      </c>
      <c r="J11" s="86">
        <f t="shared" si="2"/>
        <v>0</v>
      </c>
      <c r="K11" s="87">
        <f>SUM(K12)</f>
        <v>0</v>
      </c>
      <c r="L11" s="142"/>
      <c r="M11" s="12"/>
      <c r="N11" s="15"/>
    </row>
    <row r="12" spans="1:15" ht="15" x14ac:dyDescent="0.2">
      <c r="A12" s="92" t="s">
        <v>10</v>
      </c>
      <c r="B12" s="50">
        <v>10000</v>
      </c>
      <c r="C12" s="50">
        <v>-70.5</v>
      </c>
      <c r="D12" s="50">
        <v>-70.5</v>
      </c>
      <c r="E12" s="50">
        <v>0</v>
      </c>
      <c r="F12" s="50">
        <v>0</v>
      </c>
      <c r="G12" s="5" t="e">
        <f t="shared" ref="G12" si="7">F12/E12</f>
        <v>#DIV/0!</v>
      </c>
      <c r="H12" s="3">
        <f>F12/C12</f>
        <v>0</v>
      </c>
      <c r="I12" s="4">
        <f>D12*H12-E12</f>
        <v>0</v>
      </c>
      <c r="J12" s="4">
        <f t="shared" si="2"/>
        <v>0</v>
      </c>
      <c r="K12" s="72">
        <v>0</v>
      </c>
      <c r="L12" s="142"/>
      <c r="M12" s="12"/>
      <c r="N12" s="15"/>
    </row>
    <row r="13" spans="1:15" ht="15" x14ac:dyDescent="0.2">
      <c r="A13" s="91" t="s">
        <v>180</v>
      </c>
      <c r="B13" s="83">
        <f>SUM(B14:B16)</f>
        <v>450000</v>
      </c>
      <c r="C13" s="83">
        <f t="shared" ref="C13:E13" si="8">SUM(C14:C16)</f>
        <v>107371.8</v>
      </c>
      <c r="D13" s="83">
        <f t="shared" si="8"/>
        <v>443627.38</v>
      </c>
      <c r="E13" s="83">
        <f t="shared" si="8"/>
        <v>400000</v>
      </c>
      <c r="F13" s="83">
        <f>SUM(F14:F16)</f>
        <v>202691.09</v>
      </c>
      <c r="G13" s="84">
        <v>0</v>
      </c>
      <c r="H13" s="85">
        <v>0</v>
      </c>
      <c r="I13" s="86">
        <f>D13*H13-E13</f>
        <v>-400000</v>
      </c>
      <c r="J13" s="86">
        <f t="shared" ref="J13:J18" si="9">E13+I13</f>
        <v>0</v>
      </c>
      <c r="K13" s="87">
        <f>SUM(K14:K16)</f>
        <v>320000</v>
      </c>
      <c r="L13" s="141"/>
      <c r="M13" s="13"/>
      <c r="N13" s="15"/>
    </row>
    <row r="14" spans="1:15" ht="15" x14ac:dyDescent="0.2">
      <c r="A14" s="92" t="s">
        <v>181</v>
      </c>
      <c r="B14" s="50">
        <v>200000</v>
      </c>
      <c r="C14" s="50">
        <v>89944.22</v>
      </c>
      <c r="D14" s="50">
        <v>284699.71000000002</v>
      </c>
      <c r="E14" s="50">
        <v>200000</v>
      </c>
      <c r="F14" s="50">
        <v>81031.289999999994</v>
      </c>
      <c r="G14" s="5">
        <f t="shared" si="5"/>
        <v>0.40515644999999995</v>
      </c>
      <c r="H14" s="3">
        <f t="shared" si="6"/>
        <v>0.90090602820281274</v>
      </c>
      <c r="I14" s="4">
        <f>D14*H14-E14</f>
        <v>56487.684966592613</v>
      </c>
      <c r="J14" s="4">
        <f>E14+I14</f>
        <v>256487.68496659261</v>
      </c>
      <c r="K14" s="72">
        <v>150000</v>
      </c>
      <c r="L14" s="142" t="s">
        <v>204</v>
      </c>
      <c r="M14" s="12"/>
      <c r="N14" s="15"/>
    </row>
    <row r="15" spans="1:15" ht="15" x14ac:dyDescent="0.2">
      <c r="A15" s="92" t="s">
        <v>182</v>
      </c>
      <c r="B15" s="50">
        <v>60000</v>
      </c>
      <c r="C15" s="50">
        <v>-37159</v>
      </c>
      <c r="D15" s="50">
        <v>-9671</v>
      </c>
      <c r="E15" s="50">
        <v>50000</v>
      </c>
      <c r="F15" s="50">
        <v>46509.22</v>
      </c>
      <c r="G15" s="5">
        <f t="shared" ref="G15" si="10">F15/E15</f>
        <v>0.93018440000000002</v>
      </c>
      <c r="H15" s="3">
        <f t="shared" ref="H15" si="11">F15/C15</f>
        <v>-1.2516273311983639</v>
      </c>
      <c r="I15" s="4">
        <f>D15*H15-E15</f>
        <v>-37895.512079980625</v>
      </c>
      <c r="J15" s="4">
        <f>E15+I15</f>
        <v>12104.487920019375</v>
      </c>
      <c r="K15" s="72">
        <v>65000</v>
      </c>
      <c r="L15" s="146" t="s">
        <v>202</v>
      </c>
      <c r="M15" s="12"/>
      <c r="N15" s="15"/>
    </row>
    <row r="16" spans="1:15" ht="15" x14ac:dyDescent="0.2">
      <c r="A16" s="92" t="s">
        <v>183</v>
      </c>
      <c r="B16" s="50">
        <v>190000</v>
      </c>
      <c r="C16" s="50">
        <v>54586.58</v>
      </c>
      <c r="D16" s="50">
        <v>168598.67</v>
      </c>
      <c r="E16" s="50">
        <v>150000</v>
      </c>
      <c r="F16" s="50">
        <v>75150.58</v>
      </c>
      <c r="G16" s="5">
        <f t="shared" si="5"/>
        <v>0.50100386666666663</v>
      </c>
      <c r="H16" s="3">
        <f>F16/C16</f>
        <v>1.3767226303607956</v>
      </c>
      <c r="I16" s="4">
        <f>D16*H16-E16</f>
        <v>82113.604437731759</v>
      </c>
      <c r="J16" s="4">
        <f>E16+I16</f>
        <v>232113.60443773176</v>
      </c>
      <c r="K16" s="72">
        <v>105000</v>
      </c>
      <c r="L16" s="146" t="s">
        <v>203</v>
      </c>
      <c r="M16" s="12"/>
      <c r="N16" s="15"/>
    </row>
    <row r="17" spans="1:14" ht="15" x14ac:dyDescent="0.2">
      <c r="A17" s="91" t="s">
        <v>12</v>
      </c>
      <c r="B17" s="83">
        <f>SUM(B18)</f>
        <v>5000</v>
      </c>
      <c r="C17" s="83">
        <f t="shared" ref="C17:F17" si="12">SUM(C18)</f>
        <v>2560</v>
      </c>
      <c r="D17" s="83">
        <f t="shared" si="12"/>
        <v>3460</v>
      </c>
      <c r="E17" s="83">
        <f t="shared" si="12"/>
        <v>300</v>
      </c>
      <c r="F17" s="83">
        <f t="shared" si="12"/>
        <v>220</v>
      </c>
      <c r="G17" s="84">
        <f t="shared" si="5"/>
        <v>0.73333333333333328</v>
      </c>
      <c r="H17" s="85">
        <f t="shared" si="6"/>
        <v>8.59375E-2</v>
      </c>
      <c r="I17" s="86">
        <f>SUM(I18)</f>
        <v>-2.65625</v>
      </c>
      <c r="J17" s="86">
        <f t="shared" si="9"/>
        <v>297.34375</v>
      </c>
      <c r="K17" s="87">
        <f>SUM(K18)</f>
        <v>2000</v>
      </c>
      <c r="L17" s="142"/>
      <c r="M17" s="12"/>
      <c r="N17" s="15"/>
    </row>
    <row r="18" spans="1:14" ht="15" x14ac:dyDescent="0.2">
      <c r="A18" s="20" t="s">
        <v>184</v>
      </c>
      <c r="B18" s="50">
        <v>5000</v>
      </c>
      <c r="C18" s="50">
        <v>2560</v>
      </c>
      <c r="D18" s="50">
        <v>3460</v>
      </c>
      <c r="E18" s="50">
        <v>300</v>
      </c>
      <c r="F18" s="50">
        <v>220</v>
      </c>
      <c r="G18" s="5">
        <f t="shared" si="5"/>
        <v>0.73333333333333328</v>
      </c>
      <c r="H18" s="3">
        <f>F18/C18</f>
        <v>8.59375E-2</v>
      </c>
      <c r="I18" s="4">
        <f t="shared" ref="I18:I31" si="13">D18*H18-E18</f>
        <v>-2.65625</v>
      </c>
      <c r="J18" s="4">
        <f t="shared" si="9"/>
        <v>297.34375</v>
      </c>
      <c r="K18" s="72">
        <v>2000</v>
      </c>
      <c r="L18" s="141"/>
      <c r="M18" s="12"/>
      <c r="N18" s="15"/>
    </row>
    <row r="19" spans="1:14" ht="24" x14ac:dyDescent="0.2">
      <c r="A19" s="91" t="s">
        <v>14</v>
      </c>
      <c r="B19" s="83">
        <f>SUM(B20:B22)</f>
        <v>230000</v>
      </c>
      <c r="C19" s="83">
        <f t="shared" ref="C19:E19" si="14">SUM(C20:C22)</f>
        <v>174930</v>
      </c>
      <c r="D19" s="83">
        <f t="shared" si="14"/>
        <v>200130</v>
      </c>
      <c r="E19" s="83">
        <f t="shared" si="14"/>
        <v>315900</v>
      </c>
      <c r="F19" s="83">
        <f>SUM(F20:F22)</f>
        <v>256500</v>
      </c>
      <c r="G19" s="84">
        <v>0</v>
      </c>
      <c r="H19" s="85">
        <v>0</v>
      </c>
      <c r="I19" s="86">
        <f>D19*H19-E19</f>
        <v>-315900</v>
      </c>
      <c r="J19" s="86">
        <f t="shared" ref="J19" si="15">E19+I19</f>
        <v>0</v>
      </c>
      <c r="K19" s="87">
        <f>SUM(K20:K21)</f>
        <v>15900</v>
      </c>
      <c r="L19" s="141"/>
      <c r="M19" s="12"/>
      <c r="N19" s="15"/>
    </row>
    <row r="20" spans="1:14" ht="60" x14ac:dyDescent="0.2">
      <c r="A20" s="92" t="s">
        <v>199</v>
      </c>
      <c r="B20" s="50">
        <v>0</v>
      </c>
      <c r="C20" s="50">
        <v>0</v>
      </c>
      <c r="D20" s="50">
        <v>0</v>
      </c>
      <c r="E20" s="50">
        <v>15000</v>
      </c>
      <c r="F20" s="50">
        <v>15000</v>
      </c>
      <c r="G20" s="5">
        <f t="shared" ref="G20:G21" si="16">F20/E20</f>
        <v>1</v>
      </c>
      <c r="H20" s="3" t="e">
        <f t="shared" ref="H20:H21" si="17">F20/C20</f>
        <v>#DIV/0!</v>
      </c>
      <c r="I20" s="4" t="e">
        <f>D20*H20-E20</f>
        <v>#DIV/0!</v>
      </c>
      <c r="J20" s="4" t="e">
        <f>E20+I20</f>
        <v>#DIV/0!</v>
      </c>
      <c r="K20" s="72">
        <v>15000</v>
      </c>
      <c r="L20" s="141"/>
      <c r="M20" s="12"/>
      <c r="N20" s="15"/>
    </row>
    <row r="21" spans="1:14" ht="72" x14ac:dyDescent="0.2">
      <c r="A21" s="92" t="s">
        <v>200</v>
      </c>
      <c r="B21" s="50">
        <v>0</v>
      </c>
      <c r="C21" s="50">
        <v>0</v>
      </c>
      <c r="D21" s="50">
        <v>0</v>
      </c>
      <c r="E21" s="50">
        <v>900</v>
      </c>
      <c r="F21" s="50">
        <v>900</v>
      </c>
      <c r="G21" s="5">
        <f t="shared" si="16"/>
        <v>1</v>
      </c>
      <c r="H21" s="3" t="e">
        <f t="shared" si="17"/>
        <v>#DIV/0!</v>
      </c>
      <c r="I21" s="4" t="e">
        <f>D21*H21-E21</f>
        <v>#DIV/0!</v>
      </c>
      <c r="J21" s="4" t="e">
        <f>E21+I21</f>
        <v>#DIV/0!</v>
      </c>
      <c r="K21" s="72">
        <v>900</v>
      </c>
      <c r="L21" s="141"/>
      <c r="M21" s="12"/>
      <c r="N21" s="15"/>
    </row>
    <row r="22" spans="1:14" ht="24" x14ac:dyDescent="0.2">
      <c r="A22" s="91" t="s">
        <v>21</v>
      </c>
      <c r="B22" s="83">
        <f>SUM(B23)</f>
        <v>230000</v>
      </c>
      <c r="C22" s="83">
        <f t="shared" ref="C22" si="18">SUM(C23)</f>
        <v>174930</v>
      </c>
      <c r="D22" s="83">
        <f t="shared" ref="D22" si="19">SUM(D23)</f>
        <v>200130</v>
      </c>
      <c r="E22" s="83">
        <f>SUM(E23)</f>
        <v>300000</v>
      </c>
      <c r="F22" s="83">
        <f t="shared" ref="F22" si="20">SUM(F23)</f>
        <v>240600</v>
      </c>
      <c r="G22" s="84">
        <f t="shared" ref="G22" si="21">F22/E22</f>
        <v>0.80200000000000005</v>
      </c>
      <c r="H22" s="85">
        <f t="shared" ref="H22" si="22">F22/C22</f>
        <v>1.3754073057794547</v>
      </c>
      <c r="I22" s="86">
        <f>SUM(I23)</f>
        <v>-24739.735894357727</v>
      </c>
      <c r="J22" s="86">
        <f t="shared" ref="J22" si="23">E22+I22</f>
        <v>275260.26410564227</v>
      </c>
      <c r="K22" s="87">
        <f>SUM(K23)</f>
        <v>250000</v>
      </c>
      <c r="L22" s="142"/>
      <c r="M22" s="13"/>
      <c r="N22" s="15"/>
    </row>
    <row r="23" spans="1:14" ht="15" x14ac:dyDescent="0.2">
      <c r="A23" s="20" t="s">
        <v>130</v>
      </c>
      <c r="B23" s="50">
        <v>230000</v>
      </c>
      <c r="C23" s="50">
        <v>174930</v>
      </c>
      <c r="D23" s="50">
        <v>200130</v>
      </c>
      <c r="E23" s="50">
        <v>300000</v>
      </c>
      <c r="F23" s="50">
        <v>240600</v>
      </c>
      <c r="G23" s="5">
        <f t="shared" si="5"/>
        <v>0.80200000000000005</v>
      </c>
      <c r="H23" s="3">
        <f t="shared" si="6"/>
        <v>1.3754073057794547</v>
      </c>
      <c r="I23" s="4">
        <f t="shared" si="13"/>
        <v>-24739.735894357727</v>
      </c>
      <c r="J23" s="4">
        <f t="shared" ref="J23:J25" si="24">E23+I23</f>
        <v>275260.26410564227</v>
      </c>
      <c r="K23" s="72">
        <v>250000</v>
      </c>
      <c r="L23" s="142"/>
      <c r="M23" s="13"/>
      <c r="N23" s="15"/>
    </row>
    <row r="24" spans="1:14" ht="15" x14ac:dyDescent="0.2">
      <c r="A24" s="20" t="s">
        <v>112</v>
      </c>
      <c r="B24" s="50">
        <v>0</v>
      </c>
      <c r="C24" s="50">
        <v>0</v>
      </c>
      <c r="D24" s="50">
        <v>0</v>
      </c>
      <c r="E24" s="50">
        <v>0</v>
      </c>
      <c r="F24" s="50">
        <v>250</v>
      </c>
      <c r="G24" s="5" t="e">
        <f t="shared" si="5"/>
        <v>#DIV/0!</v>
      </c>
      <c r="H24" s="3" t="e">
        <f t="shared" si="6"/>
        <v>#DIV/0!</v>
      </c>
      <c r="I24" s="4" t="e">
        <f t="shared" si="13"/>
        <v>#DIV/0!</v>
      </c>
      <c r="J24" s="4" t="e">
        <f t="shared" si="24"/>
        <v>#DIV/0!</v>
      </c>
      <c r="K24" s="72">
        <v>0</v>
      </c>
      <c r="L24" s="146"/>
      <c r="M24" s="13"/>
      <c r="N24" s="15"/>
    </row>
    <row r="25" spans="1:14" ht="24" x14ac:dyDescent="0.2">
      <c r="A25" s="91" t="s">
        <v>22</v>
      </c>
      <c r="B25" s="83">
        <f>SUM(B26)</f>
        <v>0</v>
      </c>
      <c r="C25" s="83">
        <f t="shared" ref="C25" si="25">SUM(C26)</f>
        <v>0</v>
      </c>
      <c r="D25" s="83">
        <f t="shared" ref="D25" si="26">SUM(D26)</f>
        <v>184000</v>
      </c>
      <c r="E25" s="83">
        <f t="shared" ref="E25" si="27">SUM(E26)</f>
        <v>0</v>
      </c>
      <c r="F25" s="83">
        <f t="shared" ref="F25" si="28">SUM(F26)</f>
        <v>0</v>
      </c>
      <c r="G25" s="84">
        <v>0</v>
      </c>
      <c r="H25" s="85">
        <v>0</v>
      </c>
      <c r="I25" s="86">
        <f>SUM(I26)</f>
        <v>0</v>
      </c>
      <c r="J25" s="86">
        <f t="shared" si="24"/>
        <v>0</v>
      </c>
      <c r="K25" s="87">
        <f>SUM(K26)</f>
        <v>0</v>
      </c>
      <c r="L25" s="146"/>
      <c r="M25" s="13"/>
      <c r="N25" s="15"/>
    </row>
    <row r="26" spans="1:14" ht="60" x14ac:dyDescent="0.2">
      <c r="A26" s="20" t="s">
        <v>185</v>
      </c>
      <c r="B26" s="50">
        <v>0</v>
      </c>
      <c r="C26" s="50">
        <v>0</v>
      </c>
      <c r="D26" s="50">
        <v>184000</v>
      </c>
      <c r="E26" s="50">
        <v>0</v>
      </c>
      <c r="F26" s="50">
        <v>0</v>
      </c>
      <c r="G26" s="5">
        <v>0</v>
      </c>
      <c r="H26" s="3">
        <v>0</v>
      </c>
      <c r="I26" s="4">
        <f t="shared" ref="I26" si="29">D26*H26-E26</f>
        <v>0</v>
      </c>
      <c r="J26" s="4">
        <f t="shared" ref="J26" si="30">E26+I26</f>
        <v>0</v>
      </c>
      <c r="K26" s="72">
        <v>0</v>
      </c>
      <c r="L26" s="146"/>
      <c r="M26" s="13"/>
      <c r="N26" s="15"/>
    </row>
    <row r="27" spans="1:14" ht="15" x14ac:dyDescent="0.2">
      <c r="A27" s="82" t="s">
        <v>26</v>
      </c>
      <c r="B27" s="83">
        <f t="shared" ref="B27:F27" si="31">B28+B29</f>
        <v>10000</v>
      </c>
      <c r="C27" s="83">
        <f t="shared" si="31"/>
        <v>2550</v>
      </c>
      <c r="D27" s="83">
        <f t="shared" si="31"/>
        <v>2550</v>
      </c>
      <c r="E27" s="83">
        <f t="shared" si="31"/>
        <v>0</v>
      </c>
      <c r="F27" s="83">
        <f t="shared" si="31"/>
        <v>0</v>
      </c>
      <c r="G27" s="84">
        <v>1</v>
      </c>
      <c r="H27" s="85">
        <f t="shared" si="6"/>
        <v>0</v>
      </c>
      <c r="I27" s="86">
        <f>I28+I29</f>
        <v>0</v>
      </c>
      <c r="J27" s="86">
        <f t="shared" ref="J27:J29" si="32">E27+I27</f>
        <v>0</v>
      </c>
      <c r="K27" s="87">
        <f t="shared" ref="K27" si="33">K28+K29</f>
        <v>0</v>
      </c>
      <c r="L27" s="141"/>
      <c r="M27" s="13"/>
      <c r="N27" s="15"/>
    </row>
    <row r="28" spans="1:14" ht="15" x14ac:dyDescent="0.2">
      <c r="A28" s="20" t="s">
        <v>139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">
        <v>0</v>
      </c>
      <c r="H28" s="3">
        <v>0</v>
      </c>
      <c r="I28" s="4">
        <f t="shared" si="13"/>
        <v>0</v>
      </c>
      <c r="J28" s="4">
        <f t="shared" si="32"/>
        <v>0</v>
      </c>
      <c r="K28" s="72">
        <v>0</v>
      </c>
      <c r="L28" s="141"/>
      <c r="M28" s="13"/>
      <c r="N28" s="15"/>
    </row>
    <row r="29" spans="1:14" ht="15" x14ac:dyDescent="0.2">
      <c r="A29" s="20" t="s">
        <v>140</v>
      </c>
      <c r="B29" s="50">
        <v>10000</v>
      </c>
      <c r="C29" s="50">
        <v>2550</v>
      </c>
      <c r="D29" s="50">
        <v>2550</v>
      </c>
      <c r="E29" s="50">
        <v>0</v>
      </c>
      <c r="F29" s="50">
        <v>0</v>
      </c>
      <c r="G29" s="5" t="e">
        <f t="shared" ref="G29" si="34">F29/E29</f>
        <v>#DIV/0!</v>
      </c>
      <c r="H29" s="3">
        <f>F29/C29</f>
        <v>0</v>
      </c>
      <c r="I29" s="4">
        <f>D29*H29-E29</f>
        <v>0</v>
      </c>
      <c r="J29" s="4">
        <f t="shared" si="32"/>
        <v>0</v>
      </c>
      <c r="K29" s="72">
        <v>0</v>
      </c>
      <c r="L29" s="141"/>
      <c r="M29" s="13"/>
      <c r="N29" s="15"/>
    </row>
    <row r="30" spans="1:14" ht="15.75" x14ac:dyDescent="0.2">
      <c r="A30" s="107" t="s">
        <v>132</v>
      </c>
      <c r="B30" s="110">
        <f>B31</f>
        <v>391000</v>
      </c>
      <c r="C30" s="110">
        <f t="shared" ref="C30:D30" si="35">C31</f>
        <v>322000</v>
      </c>
      <c r="D30" s="110">
        <f t="shared" si="35"/>
        <v>322000</v>
      </c>
      <c r="E30" s="110">
        <f>E31</f>
        <v>410618</v>
      </c>
      <c r="F30" s="110">
        <f t="shared" ref="F30" si="36">F31</f>
        <v>410618</v>
      </c>
      <c r="G30" s="109">
        <f t="shared" ref="G30:G32" si="37">F30/E30</f>
        <v>1</v>
      </c>
      <c r="H30" s="109">
        <f>F30/C30</f>
        <v>1.2752111801242236</v>
      </c>
      <c r="I30" s="110">
        <f>D30*H30-E30</f>
        <v>0</v>
      </c>
      <c r="J30" s="110">
        <f>E30+I30</f>
        <v>410618</v>
      </c>
      <c r="K30" s="110">
        <f>K31</f>
        <v>150000</v>
      </c>
      <c r="L30" s="141"/>
      <c r="M30" s="13"/>
      <c r="N30" s="15"/>
    </row>
    <row r="31" spans="1:14" ht="15" x14ac:dyDescent="0.2">
      <c r="A31" s="82" t="s">
        <v>165</v>
      </c>
      <c r="B31" s="83">
        <v>391000</v>
      </c>
      <c r="C31" s="83">
        <v>322000</v>
      </c>
      <c r="D31" s="83">
        <v>322000</v>
      </c>
      <c r="E31" s="83">
        <v>410618</v>
      </c>
      <c r="F31" s="83">
        <v>410618</v>
      </c>
      <c r="G31" s="84">
        <f t="shared" si="37"/>
        <v>1</v>
      </c>
      <c r="H31" s="85">
        <f t="shared" si="6"/>
        <v>1.2752111801242236</v>
      </c>
      <c r="I31" s="86">
        <f t="shared" si="13"/>
        <v>0</v>
      </c>
      <c r="J31" s="86">
        <f>E31+I31</f>
        <v>410618</v>
      </c>
      <c r="K31" s="87">
        <v>150000</v>
      </c>
      <c r="L31" s="141"/>
      <c r="M31" s="13"/>
      <c r="N31" s="15"/>
    </row>
    <row r="32" spans="1:14" s="90" customFormat="1" ht="15.75" x14ac:dyDescent="0.2">
      <c r="A32" s="105" t="s">
        <v>28</v>
      </c>
      <c r="B32" s="106">
        <f>B6+B30</f>
        <v>2296000</v>
      </c>
      <c r="C32" s="106">
        <f>C6+C30</f>
        <v>1507163.3900000001</v>
      </c>
      <c r="D32" s="106">
        <f>D6+D30</f>
        <v>2410951.0499999998</v>
      </c>
      <c r="E32" s="106">
        <f>E6+E30</f>
        <v>2416878</v>
      </c>
      <c r="F32" s="106">
        <f>F6+F30</f>
        <v>1836454.08</v>
      </c>
      <c r="G32" s="111">
        <f t="shared" si="37"/>
        <v>0.75984558591703844</v>
      </c>
      <c r="H32" s="112">
        <f t="shared" si="6"/>
        <v>1.2184837371879103</v>
      </c>
      <c r="I32" s="106">
        <f>I6+I30</f>
        <v>-351902.87386118231</v>
      </c>
      <c r="J32" s="106">
        <f>J6+J30</f>
        <v>2064975.1261388178</v>
      </c>
      <c r="K32" s="106">
        <f>K6+K30</f>
        <v>2226928.7199999997</v>
      </c>
      <c r="L32" s="143"/>
      <c r="M32" s="89"/>
    </row>
    <row r="33" spans="1:14" x14ac:dyDescent="0.2">
      <c r="L33" s="12"/>
      <c r="N33" s="15"/>
    </row>
    <row r="34" spans="1:14" ht="89.25" x14ac:dyDescent="0.2">
      <c r="A34" s="113" t="s">
        <v>135</v>
      </c>
      <c r="B34" s="113" t="s">
        <v>189</v>
      </c>
      <c r="C34" s="113" t="s">
        <v>190</v>
      </c>
      <c r="D34" s="113" t="s">
        <v>191</v>
      </c>
      <c r="E34" s="113" t="s">
        <v>192</v>
      </c>
      <c r="F34" s="113" t="s">
        <v>193</v>
      </c>
      <c r="G34" s="115" t="s">
        <v>194</v>
      </c>
      <c r="H34" s="115" t="s">
        <v>195</v>
      </c>
      <c r="I34" s="115" t="s">
        <v>1</v>
      </c>
      <c r="J34" s="115" t="s">
        <v>187</v>
      </c>
      <c r="K34" s="115" t="s">
        <v>188</v>
      </c>
      <c r="L34" s="12"/>
      <c r="N34" s="15"/>
    </row>
    <row r="35" spans="1:14" x14ac:dyDescent="0.2">
      <c r="A35" s="118">
        <v>1000</v>
      </c>
      <c r="B35" s="114">
        <f>B32-B36</f>
        <v>1675000</v>
      </c>
      <c r="C35" s="114">
        <f t="shared" ref="C35:F35" si="38">C32-C36</f>
        <v>1010233.3900000001</v>
      </c>
      <c r="D35" s="114">
        <f t="shared" si="38"/>
        <v>1888821.0499999998</v>
      </c>
      <c r="E35" s="114">
        <f t="shared" si="38"/>
        <v>1706260</v>
      </c>
      <c r="F35" s="114">
        <f t="shared" si="38"/>
        <v>1185236.08</v>
      </c>
      <c r="G35" s="137">
        <f>F35/E35</f>
        <v>0.69463978526133185</v>
      </c>
      <c r="H35" s="137">
        <f>F35/C35</f>
        <v>1.1732299602570055</v>
      </c>
      <c r="I35" s="114">
        <f t="shared" ref="I35:I36" si="39">D35*H35-E35</f>
        <v>509761.44542409526</v>
      </c>
      <c r="J35" s="114">
        <f>E35+I35</f>
        <v>2216021.4454240953</v>
      </c>
      <c r="K35" s="114">
        <f t="shared" ref="K35" si="40">K32-K36</f>
        <v>1826928.7199999997</v>
      </c>
      <c r="L35" s="12"/>
      <c r="N35" s="15"/>
    </row>
    <row r="36" spans="1:14" x14ac:dyDescent="0.2">
      <c r="A36" s="118">
        <v>8000</v>
      </c>
      <c r="B36" s="114">
        <f>B23+B31</f>
        <v>621000</v>
      </c>
      <c r="C36" s="114">
        <f t="shared" ref="C36:F36" si="41">C23+C31</f>
        <v>496930</v>
      </c>
      <c r="D36" s="114">
        <f t="shared" si="41"/>
        <v>522130</v>
      </c>
      <c r="E36" s="114">
        <f t="shared" si="41"/>
        <v>710618</v>
      </c>
      <c r="F36" s="114">
        <f t="shared" si="41"/>
        <v>651218</v>
      </c>
      <c r="G36" s="137">
        <f t="shared" ref="G36" si="42">F36/E36</f>
        <v>0.91641078610448934</v>
      </c>
      <c r="H36" s="137">
        <f t="shared" ref="H36" si="43">F36/C36</f>
        <v>1.3104823617008432</v>
      </c>
      <c r="I36" s="114">
        <f t="shared" si="39"/>
        <v>-26375.844485138776</v>
      </c>
      <c r="J36" s="114">
        <f t="shared" ref="J36" si="44">E36+I36</f>
        <v>684242.15551486122</v>
      </c>
      <c r="K36" s="114">
        <f t="shared" ref="K36" si="45">K23+K31</f>
        <v>400000</v>
      </c>
      <c r="L36" s="12"/>
      <c r="N36" s="15"/>
    </row>
    <row r="38" spans="1:14" ht="15" x14ac:dyDescent="0.2">
      <c r="D38" s="30"/>
      <c r="E38" s="30"/>
      <c r="F38" s="30"/>
      <c r="K38" s="125"/>
      <c r="L38" s="125"/>
    </row>
    <row r="39" spans="1:14" x14ac:dyDescent="0.2">
      <c r="B39" s="148" t="s">
        <v>141</v>
      </c>
      <c r="C39" s="150"/>
      <c r="D39" s="119"/>
      <c r="I39" s="125"/>
      <c r="J39" s="125"/>
      <c r="L39" s="12"/>
      <c r="N39" s="15"/>
    </row>
    <row r="40" spans="1:14" x14ac:dyDescent="0.2">
      <c r="B40" s="140" t="s">
        <v>142</v>
      </c>
      <c r="C40" s="138" t="s">
        <v>144</v>
      </c>
      <c r="E40" s="125"/>
      <c r="F40" s="125"/>
      <c r="G40" s="125"/>
      <c r="H40" s="125"/>
      <c r="I40" s="12"/>
      <c r="J40" s="125"/>
      <c r="N40" s="15"/>
    </row>
    <row r="41" spans="1:14" x14ac:dyDescent="0.2">
      <c r="B41" s="116" t="s">
        <v>178</v>
      </c>
      <c r="C41" s="117">
        <v>1170</v>
      </c>
      <c r="E41" s="125"/>
      <c r="F41" s="125"/>
      <c r="G41" s="125"/>
      <c r="H41" s="125"/>
      <c r="I41" s="12"/>
      <c r="J41" s="125"/>
      <c r="N41" s="15"/>
    </row>
    <row r="42" spans="1:14" x14ac:dyDescent="0.2">
      <c r="B42" s="116" t="s">
        <v>179</v>
      </c>
      <c r="C42" s="117">
        <v>1380</v>
      </c>
      <c r="E42" s="125"/>
      <c r="F42" s="125"/>
      <c r="G42" s="125"/>
      <c r="H42" s="125"/>
      <c r="I42" s="12"/>
      <c r="J42" s="125"/>
      <c r="N42" s="15"/>
    </row>
    <row r="43" spans="1:14" x14ac:dyDescent="0.2">
      <c r="B43" s="116" t="s">
        <v>196</v>
      </c>
      <c r="C43" s="117">
        <v>3460</v>
      </c>
      <c r="E43" s="125"/>
      <c r="F43" s="125"/>
      <c r="G43" s="125"/>
      <c r="H43" s="125"/>
      <c r="I43" s="12"/>
      <c r="J43" s="125"/>
      <c r="N43" s="15"/>
    </row>
    <row r="44" spans="1:14" x14ac:dyDescent="0.2">
      <c r="B44" s="116" t="s">
        <v>143</v>
      </c>
      <c r="C44" s="124">
        <f>(C43+C41+C42)/3</f>
        <v>2003.3333333333333</v>
      </c>
      <c r="I44" s="12"/>
      <c r="N44" s="15"/>
    </row>
    <row r="47" spans="1:14" x14ac:dyDescent="0.2">
      <c r="B47" s="158" t="s">
        <v>156</v>
      </c>
      <c r="C47" s="159"/>
      <c r="D47" s="159"/>
      <c r="E47" s="160"/>
    </row>
    <row r="48" spans="1:14" x14ac:dyDescent="0.2">
      <c r="B48" s="140" t="s">
        <v>142</v>
      </c>
      <c r="C48" s="140" t="s">
        <v>160</v>
      </c>
      <c r="D48" s="140" t="s">
        <v>161</v>
      </c>
      <c r="E48" s="140" t="s">
        <v>162</v>
      </c>
    </row>
    <row r="49" spans="2:14" x14ac:dyDescent="0.2">
      <c r="B49" s="118" t="s">
        <v>197</v>
      </c>
      <c r="C49" s="117">
        <v>345960</v>
      </c>
      <c r="D49" s="145">
        <v>1.0820000000000001</v>
      </c>
      <c r="E49" s="124">
        <f>C49*D49</f>
        <v>374328.72000000003</v>
      </c>
      <c r="F49" s="136">
        <v>1.0820000000000001</v>
      </c>
      <c r="G49" s="147" t="s">
        <v>201</v>
      </c>
    </row>
    <row r="52" spans="2:14" x14ac:dyDescent="0.2">
      <c r="M52" s="12"/>
      <c r="N52" s="15"/>
    </row>
    <row r="53" spans="2:14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</row>
    <row r="54" spans="2:14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</row>
    <row r="55" spans="2:14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</row>
    <row r="56" spans="2:14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</row>
    <row r="57" spans="2:14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</row>
    <row r="58" spans="2:14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</row>
  </sheetData>
  <mergeCells count="4">
    <mergeCell ref="A2:M2"/>
    <mergeCell ref="A3:G3"/>
    <mergeCell ref="B39:C39"/>
    <mergeCell ref="B47:E47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4" zoomScale="90" zoomScaleNormal="90" workbookViewId="0">
      <selection activeCell="K19" sqref="K19"/>
    </sheetView>
  </sheetViews>
  <sheetFormatPr defaultColWidth="9.33203125" defaultRowHeight="12.75" x14ac:dyDescent="0.2"/>
  <cols>
    <col min="1" max="1" width="68.5" style="15" customWidth="1"/>
    <col min="2" max="2" width="21.5" style="15" hidden="1" customWidth="1"/>
    <col min="3" max="3" width="22.83203125" style="15" customWidth="1"/>
    <col min="4" max="4" width="0.33203125" style="15" hidden="1" customWidth="1"/>
    <col min="5" max="5" width="18.6640625" style="15" customWidth="1"/>
    <col min="6" max="6" width="17.83203125" style="15" hidden="1" customWidth="1"/>
    <col min="7" max="7" width="17.6640625" style="15" hidden="1" customWidth="1"/>
    <col min="8" max="16" width="18.6640625" style="15" customWidth="1"/>
    <col min="17" max="17" width="47.83203125" style="12" customWidth="1"/>
    <col min="18" max="18" width="59" style="15" customWidth="1"/>
    <col min="19" max="19" width="14.33203125" style="15" hidden="1" customWidth="1"/>
    <col min="20" max="20" width="9.33203125" style="15" hidden="1" customWidth="1"/>
    <col min="21" max="16384" width="9.33203125" style="15"/>
  </cols>
  <sheetData>
    <row r="1" spans="1:20" ht="15" x14ac:dyDescent="0.2"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R1" s="12"/>
    </row>
    <row r="2" spans="1:20" ht="18.75" x14ac:dyDescent="0.2">
      <c r="A2" s="153" t="s">
        <v>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38"/>
      <c r="R2" s="12"/>
    </row>
    <row r="3" spans="1:20" ht="15.75" x14ac:dyDescent="0.2">
      <c r="A3" s="154"/>
      <c r="B3" s="154"/>
      <c r="C3" s="154"/>
      <c r="D3" s="154"/>
      <c r="E3" s="154"/>
      <c r="F3" s="154"/>
      <c r="G3" s="33"/>
      <c r="H3" s="37"/>
      <c r="I3" s="33"/>
      <c r="J3" s="37"/>
      <c r="K3" s="37"/>
      <c r="L3" s="33"/>
      <c r="M3" s="37"/>
      <c r="N3" s="37"/>
      <c r="O3" s="33"/>
      <c r="P3" s="37"/>
      <c r="R3" s="12"/>
    </row>
    <row r="4" spans="1:20" x14ac:dyDescent="0.2">
      <c r="A4" s="16"/>
      <c r="B4" s="1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R4" s="12"/>
    </row>
    <row r="5" spans="1:20" ht="156" x14ac:dyDescent="0.2">
      <c r="A5" s="17" t="s">
        <v>0</v>
      </c>
      <c r="B5" s="10" t="s">
        <v>27</v>
      </c>
      <c r="C5" s="10" t="s">
        <v>34</v>
      </c>
      <c r="D5" s="34" t="s">
        <v>35</v>
      </c>
      <c r="E5" s="34" t="s">
        <v>51</v>
      </c>
      <c r="F5" s="22" t="s">
        <v>52</v>
      </c>
      <c r="G5" s="22" t="s">
        <v>53</v>
      </c>
      <c r="H5" s="7" t="s">
        <v>71</v>
      </c>
      <c r="I5" s="22" t="s">
        <v>36</v>
      </c>
      <c r="J5" s="41" t="s">
        <v>72</v>
      </c>
      <c r="K5" s="7" t="s">
        <v>74</v>
      </c>
      <c r="L5" s="22" t="s">
        <v>44</v>
      </c>
      <c r="M5" s="41" t="s">
        <v>72</v>
      </c>
      <c r="N5" s="7" t="s">
        <v>73</v>
      </c>
      <c r="O5" s="22" t="s">
        <v>45</v>
      </c>
      <c r="P5" s="41" t="s">
        <v>72</v>
      </c>
      <c r="R5" s="12"/>
    </row>
    <row r="6" spans="1:20" x14ac:dyDescent="0.2">
      <c r="A6" s="18" t="s">
        <v>2</v>
      </c>
      <c r="B6" s="18" t="s">
        <v>3</v>
      </c>
      <c r="C6" s="18" t="s">
        <v>5</v>
      </c>
      <c r="D6" s="18" t="s">
        <v>6</v>
      </c>
      <c r="E6" s="18" t="s">
        <v>7</v>
      </c>
      <c r="F6" s="18" t="s">
        <v>29</v>
      </c>
      <c r="G6" s="18" t="s">
        <v>30</v>
      </c>
      <c r="H6" s="18" t="s">
        <v>31</v>
      </c>
      <c r="I6" s="18" t="s">
        <v>32</v>
      </c>
      <c r="J6" s="18" t="s">
        <v>33</v>
      </c>
      <c r="K6" s="18" t="s">
        <v>42</v>
      </c>
      <c r="L6" s="18" t="s">
        <v>43</v>
      </c>
      <c r="M6" s="18" t="s">
        <v>75</v>
      </c>
      <c r="N6" s="18" t="s">
        <v>76</v>
      </c>
      <c r="O6" s="18" t="s">
        <v>77</v>
      </c>
      <c r="P6" s="18" t="s">
        <v>78</v>
      </c>
      <c r="R6" s="12"/>
    </row>
    <row r="7" spans="1:20" ht="15.75" x14ac:dyDescent="0.2">
      <c r="A7" s="19" t="s">
        <v>8</v>
      </c>
      <c r="B7" s="1">
        <f>B8+B10+B14+B15+B16+B22+B24+B27+B28</f>
        <v>245876</v>
      </c>
      <c r="C7" s="1">
        <f>C8+C10+C14+C15+C16+C22+C24+C27+C28</f>
        <v>242631.66999999998</v>
      </c>
      <c r="D7" s="1">
        <f>D8+D10+D14+D15+D16+D22+D24+D27+D28</f>
        <v>261090.8</v>
      </c>
      <c r="E7" s="1">
        <f>E8+E10+E14+E15+E16+E22+E24+E27+E28</f>
        <v>262832.02999999997</v>
      </c>
      <c r="F7" s="2">
        <f>E7/D7</f>
        <v>1.0066690591932002</v>
      </c>
      <c r="G7" s="2">
        <f>E7/C7</f>
        <v>1.0832552485831712</v>
      </c>
      <c r="H7" s="8">
        <f>H8+H9+H13+H14+H15+H21+H23+H26+H27</f>
        <v>291262</v>
      </c>
      <c r="I7" s="40">
        <f>I8+I9+I10+I14+I15+I16+I22+I24+I27+I28</f>
        <v>284419.05000000005</v>
      </c>
      <c r="J7" s="42">
        <f>I7-H7</f>
        <v>-6842.9499999999534</v>
      </c>
      <c r="K7" s="8">
        <f>K8+K9+K13+K14+K15+K21+K23+K26+K27</f>
        <v>291262</v>
      </c>
      <c r="L7" s="40">
        <f t="shared" ref="L7:O7" si="0">L8+L9+L10+L14+L15+L16+L22+L24+L27+L28</f>
        <v>276949.54000000004</v>
      </c>
      <c r="M7" s="42">
        <f>L7-K7</f>
        <v>-14312.459999999963</v>
      </c>
      <c r="N7" s="8">
        <f t="shared" ref="N7" si="1">N8+N9+N13+N14+N15+N21+N23+N26+N27</f>
        <v>291262</v>
      </c>
      <c r="O7" s="40">
        <f t="shared" si="0"/>
        <v>271841.11</v>
      </c>
      <c r="P7" s="42">
        <f>O7-N7</f>
        <v>-19420.890000000014</v>
      </c>
      <c r="R7" s="12"/>
      <c r="S7" s="35">
        <f>I7/D7</f>
        <v>1.0893491842684617</v>
      </c>
      <c r="T7" s="36">
        <f>I7/E7</f>
        <v>1.0821323793755278</v>
      </c>
    </row>
    <row r="8" spans="1:20" ht="25.5" x14ac:dyDescent="0.2">
      <c r="A8" s="20" t="s">
        <v>38</v>
      </c>
      <c r="B8" s="4">
        <v>201000</v>
      </c>
      <c r="C8" s="4">
        <v>201224.3</v>
      </c>
      <c r="D8" s="4">
        <v>219312</v>
      </c>
      <c r="E8" s="4">
        <v>223615.24</v>
      </c>
      <c r="F8" s="5">
        <f>E8/D8</f>
        <v>1.0196215437367768</v>
      </c>
      <c r="G8" s="3">
        <f>E8/C8</f>
        <v>1.1112735390308228</v>
      </c>
      <c r="H8" s="24">
        <v>254995</v>
      </c>
      <c r="I8" s="43">
        <v>239044.69</v>
      </c>
      <c r="J8" s="42">
        <f t="shared" ref="J8:J29" si="2">I8-H8</f>
        <v>-15950.309999999998</v>
      </c>
      <c r="K8" s="24">
        <v>254995</v>
      </c>
      <c r="L8" s="43">
        <v>239044.69</v>
      </c>
      <c r="M8" s="42">
        <f t="shared" ref="M8:M28" si="3">L8-K8</f>
        <v>-15950.309999999998</v>
      </c>
      <c r="N8" s="24">
        <v>254995</v>
      </c>
      <c r="O8" s="43">
        <v>239044.69</v>
      </c>
      <c r="P8" s="42">
        <f t="shared" ref="P8:P29" si="4">O8-N8</f>
        <v>-15950.309999999998</v>
      </c>
      <c r="Q8" s="13" t="s">
        <v>56</v>
      </c>
      <c r="R8" s="13"/>
      <c r="S8" s="35">
        <f>I8/D8</f>
        <v>1.0899754231414607</v>
      </c>
      <c r="T8" s="36">
        <f>I8/E8</f>
        <v>1.0689999930237313</v>
      </c>
    </row>
    <row r="9" spans="1:20" ht="24" x14ac:dyDescent="0.2">
      <c r="A9" s="20" t="s">
        <v>54</v>
      </c>
      <c r="B9" s="4">
        <v>0</v>
      </c>
      <c r="C9" s="4">
        <v>0</v>
      </c>
      <c r="D9" s="4">
        <v>0</v>
      </c>
      <c r="E9" s="4">
        <v>0</v>
      </c>
      <c r="F9" s="5">
        <v>0</v>
      </c>
      <c r="G9" s="3">
        <v>0</v>
      </c>
      <c r="H9" s="24">
        <v>0</v>
      </c>
      <c r="I9" s="43">
        <v>166.15</v>
      </c>
      <c r="J9" s="42">
        <f t="shared" si="2"/>
        <v>166.15</v>
      </c>
      <c r="K9" s="24">
        <v>0</v>
      </c>
      <c r="L9" s="43">
        <v>165.35</v>
      </c>
      <c r="M9" s="42">
        <f t="shared" si="3"/>
        <v>165.35</v>
      </c>
      <c r="N9" s="24">
        <v>0</v>
      </c>
      <c r="O9" s="43">
        <v>180.32</v>
      </c>
      <c r="P9" s="42">
        <f t="shared" si="4"/>
        <v>180.32</v>
      </c>
      <c r="Q9" s="13" t="s">
        <v>55</v>
      </c>
      <c r="R9" s="13"/>
      <c r="S9" s="35">
        <v>1</v>
      </c>
      <c r="T9" s="36">
        <v>1</v>
      </c>
    </row>
    <row r="10" spans="1:20" ht="15" x14ac:dyDescent="0.2">
      <c r="A10" s="20" t="s">
        <v>37</v>
      </c>
      <c r="B10" s="4">
        <f>B11+B12+B13</f>
        <v>13521.3</v>
      </c>
      <c r="C10" s="4">
        <f t="shared" ref="C10:E10" si="5">C11+C12+C13</f>
        <v>10568.880000000001</v>
      </c>
      <c r="D10" s="4">
        <f>D11+D12+D13</f>
        <v>12100.2</v>
      </c>
      <c r="E10" s="4">
        <f t="shared" si="5"/>
        <v>8316.8000000000011</v>
      </c>
      <c r="F10" s="5">
        <f t="shared" ref="F10:F29" si="6">E10/D10</f>
        <v>0.68732748219037709</v>
      </c>
      <c r="G10" s="3">
        <f t="shared" ref="G10:G29" si="7">E10/C10</f>
        <v>0.78691403441045793</v>
      </c>
      <c r="H10" s="6">
        <f>H11+H12+H13</f>
        <v>9780.2000000000007</v>
      </c>
      <c r="I10" s="39">
        <f>I11+I12+I13</f>
        <v>5441.85</v>
      </c>
      <c r="J10" s="42">
        <f t="shared" si="2"/>
        <v>-4338.3500000000004</v>
      </c>
      <c r="K10" s="6">
        <f t="shared" ref="K10" si="8">K11+K12+K13</f>
        <v>9780.2000000000007</v>
      </c>
      <c r="L10" s="39">
        <f t="shared" ref="L10:O10" si="9">L11+L12+L13</f>
        <v>557.57000000000005</v>
      </c>
      <c r="M10" s="42">
        <f t="shared" si="3"/>
        <v>-9222.630000000001</v>
      </c>
      <c r="N10" s="6">
        <f t="shared" si="9"/>
        <v>9780.2000000000007</v>
      </c>
      <c r="O10" s="39">
        <f t="shared" si="9"/>
        <v>557.57000000000005</v>
      </c>
      <c r="P10" s="42">
        <f t="shared" si="4"/>
        <v>-9222.630000000001</v>
      </c>
      <c r="R10" s="12"/>
      <c r="S10" s="35">
        <f t="shared" ref="S10:S29" si="10">I10/D10</f>
        <v>0.44973223583081273</v>
      </c>
      <c r="T10" s="36">
        <f t="shared" ref="T10:T29" si="11">I10/E10</f>
        <v>0.65432017121969988</v>
      </c>
    </row>
    <row r="11" spans="1:20" ht="25.5" x14ac:dyDescent="0.2">
      <c r="A11" s="20" t="s">
        <v>9</v>
      </c>
      <c r="B11" s="4">
        <v>13025</v>
      </c>
      <c r="C11" s="4">
        <v>10411.34</v>
      </c>
      <c r="D11" s="4">
        <v>11600</v>
      </c>
      <c r="E11" s="4">
        <v>7647.81</v>
      </c>
      <c r="F11" s="5">
        <f t="shared" si="6"/>
        <v>0.6592939655172414</v>
      </c>
      <c r="G11" s="3">
        <f t="shared" si="7"/>
        <v>0.73456538735647858</v>
      </c>
      <c r="H11" s="24">
        <v>9280</v>
      </c>
      <c r="I11" s="43">
        <v>4884.28</v>
      </c>
      <c r="J11" s="42">
        <f t="shared" si="2"/>
        <v>-4395.72</v>
      </c>
      <c r="K11" s="24">
        <v>9280</v>
      </c>
      <c r="L11" s="43">
        <v>0</v>
      </c>
      <c r="M11" s="42">
        <f t="shared" si="3"/>
        <v>-9280</v>
      </c>
      <c r="N11" s="24">
        <v>9280</v>
      </c>
      <c r="O11" s="43">
        <v>0</v>
      </c>
      <c r="P11" s="42">
        <f t="shared" si="4"/>
        <v>-9280</v>
      </c>
      <c r="Q11" s="13" t="s">
        <v>58</v>
      </c>
      <c r="R11" s="13" t="s">
        <v>67</v>
      </c>
      <c r="S11" s="35">
        <f t="shared" si="10"/>
        <v>0.42105862068965516</v>
      </c>
      <c r="T11" s="36">
        <f t="shared" si="11"/>
        <v>0.63865080330186019</v>
      </c>
    </row>
    <row r="12" spans="1:20" ht="25.5" x14ac:dyDescent="0.2">
      <c r="A12" s="20" t="s">
        <v>10</v>
      </c>
      <c r="B12" s="4">
        <v>136</v>
      </c>
      <c r="C12" s="4">
        <v>-246.21</v>
      </c>
      <c r="D12" s="4">
        <v>140</v>
      </c>
      <c r="E12" s="4">
        <v>59.64</v>
      </c>
      <c r="F12" s="5">
        <f t="shared" si="6"/>
        <v>0.42599999999999999</v>
      </c>
      <c r="G12" s="3">
        <f t="shared" si="7"/>
        <v>-0.24223224077007433</v>
      </c>
      <c r="H12" s="6">
        <v>140</v>
      </c>
      <c r="I12" s="43">
        <v>70.97</v>
      </c>
      <c r="J12" s="42">
        <f t="shared" si="2"/>
        <v>-69.03</v>
      </c>
      <c r="K12" s="6">
        <v>140</v>
      </c>
      <c r="L12" s="39">
        <v>70.97</v>
      </c>
      <c r="M12" s="42">
        <f t="shared" si="3"/>
        <v>-69.03</v>
      </c>
      <c r="N12" s="6">
        <v>140</v>
      </c>
      <c r="O12" s="39">
        <v>70.97</v>
      </c>
      <c r="P12" s="42">
        <f t="shared" si="4"/>
        <v>-69.03</v>
      </c>
      <c r="Q12" s="13" t="s">
        <v>70</v>
      </c>
      <c r="R12" s="13" t="s">
        <v>69</v>
      </c>
      <c r="S12" s="35">
        <f t="shared" si="10"/>
        <v>0.5069285714285714</v>
      </c>
      <c r="T12" s="36">
        <f t="shared" si="11"/>
        <v>1.1899731723675386</v>
      </c>
    </row>
    <row r="13" spans="1:20" ht="25.5" x14ac:dyDescent="0.2">
      <c r="A13" s="20" t="s">
        <v>11</v>
      </c>
      <c r="B13" s="4">
        <v>360.3</v>
      </c>
      <c r="C13" s="4">
        <v>403.75</v>
      </c>
      <c r="D13" s="4">
        <v>360.2</v>
      </c>
      <c r="E13" s="4">
        <v>609.35</v>
      </c>
      <c r="F13" s="5">
        <f t="shared" si="6"/>
        <v>1.6916990560799556</v>
      </c>
      <c r="G13" s="3">
        <f t="shared" si="7"/>
        <v>1.5092260061919505</v>
      </c>
      <c r="H13" s="6">
        <v>360.2</v>
      </c>
      <c r="I13" s="39">
        <v>486.6</v>
      </c>
      <c r="J13" s="42">
        <f t="shared" si="2"/>
        <v>126.40000000000003</v>
      </c>
      <c r="K13" s="6">
        <v>360.2</v>
      </c>
      <c r="L13" s="39">
        <v>486.6</v>
      </c>
      <c r="M13" s="42">
        <f t="shared" si="3"/>
        <v>126.40000000000003</v>
      </c>
      <c r="N13" s="6">
        <v>360.2</v>
      </c>
      <c r="O13" s="39">
        <v>486.6</v>
      </c>
      <c r="P13" s="42">
        <f t="shared" si="4"/>
        <v>126.40000000000003</v>
      </c>
      <c r="Q13" s="13" t="s">
        <v>59</v>
      </c>
      <c r="R13" s="13" t="s">
        <v>60</v>
      </c>
      <c r="S13" s="35">
        <f t="shared" si="10"/>
        <v>1.3509161576901723</v>
      </c>
      <c r="T13" s="36">
        <f t="shared" si="11"/>
        <v>0.79855583818823339</v>
      </c>
    </row>
    <row r="14" spans="1:20" ht="25.5" x14ac:dyDescent="0.2">
      <c r="A14" s="20" t="s">
        <v>12</v>
      </c>
      <c r="B14" s="4">
        <v>1500</v>
      </c>
      <c r="C14" s="4">
        <v>1298.72</v>
      </c>
      <c r="D14" s="4">
        <v>1500</v>
      </c>
      <c r="E14" s="4">
        <v>1156.58</v>
      </c>
      <c r="F14" s="5">
        <f t="shared" si="6"/>
        <v>0.77105333333333326</v>
      </c>
      <c r="G14" s="3">
        <f t="shared" si="7"/>
        <v>0.89055377602562513</v>
      </c>
      <c r="H14" s="6">
        <v>1500</v>
      </c>
      <c r="I14" s="39">
        <v>1347.43</v>
      </c>
      <c r="J14" s="42">
        <f t="shared" si="2"/>
        <v>-152.56999999999994</v>
      </c>
      <c r="K14" s="6">
        <v>1500</v>
      </c>
      <c r="L14" s="39">
        <v>1347.43</v>
      </c>
      <c r="M14" s="42">
        <f t="shared" si="3"/>
        <v>-152.56999999999994</v>
      </c>
      <c r="N14" s="6">
        <v>1500</v>
      </c>
      <c r="O14" s="39">
        <v>1347.43</v>
      </c>
      <c r="P14" s="42">
        <f t="shared" si="4"/>
        <v>-152.56999999999994</v>
      </c>
      <c r="Q14" s="13" t="s">
        <v>61</v>
      </c>
      <c r="R14" s="12"/>
      <c r="S14" s="35">
        <f t="shared" si="10"/>
        <v>0.89828666666666668</v>
      </c>
      <c r="T14" s="36">
        <f t="shared" si="11"/>
        <v>1.1650123640388041</v>
      </c>
    </row>
    <row r="15" spans="1:20" ht="24" x14ac:dyDescent="0.2">
      <c r="A15" s="20" t="s">
        <v>13</v>
      </c>
      <c r="B15" s="4">
        <v>6.7</v>
      </c>
      <c r="C15" s="4">
        <v>6.8</v>
      </c>
      <c r="D15" s="4">
        <v>6.8</v>
      </c>
      <c r="E15" s="4">
        <v>3.62</v>
      </c>
      <c r="F15" s="5">
        <f t="shared" si="6"/>
        <v>0.53235294117647058</v>
      </c>
      <c r="G15" s="3">
        <f t="shared" si="7"/>
        <v>0.53235294117647058</v>
      </c>
      <c r="H15" s="24">
        <v>6.8</v>
      </c>
      <c r="I15" s="43">
        <v>5.7</v>
      </c>
      <c r="J15" s="42">
        <f t="shared" si="2"/>
        <v>-1.0999999999999996</v>
      </c>
      <c r="K15" s="24">
        <v>6.8</v>
      </c>
      <c r="L15" s="43">
        <v>5.7</v>
      </c>
      <c r="M15" s="42">
        <f t="shared" si="3"/>
        <v>-1.0999999999999996</v>
      </c>
      <c r="N15" s="24">
        <v>6.8</v>
      </c>
      <c r="O15" s="43">
        <v>5.7</v>
      </c>
      <c r="P15" s="42">
        <f t="shared" si="4"/>
        <v>-1.0999999999999996</v>
      </c>
      <c r="Q15" s="13" t="s">
        <v>63</v>
      </c>
      <c r="R15" s="12"/>
      <c r="S15" s="35">
        <f t="shared" si="10"/>
        <v>0.83823529411764708</v>
      </c>
      <c r="T15" s="36">
        <f t="shared" si="11"/>
        <v>1.5745856353591161</v>
      </c>
    </row>
    <row r="16" spans="1:20" ht="24" x14ac:dyDescent="0.2">
      <c r="A16" s="20" t="s">
        <v>14</v>
      </c>
      <c r="B16" s="4">
        <f>B17+B18+B19+B20+B21</f>
        <v>17366</v>
      </c>
      <c r="C16" s="4">
        <f>C17+C18+C19+C20+C21</f>
        <v>18670.63</v>
      </c>
      <c r="D16" s="4">
        <f>D17+D18+D19+D20+D21</f>
        <v>19388.8</v>
      </c>
      <c r="E16" s="4">
        <f>E17+E18+E19+E20+E21</f>
        <v>21175.819999999996</v>
      </c>
      <c r="F16" s="5">
        <f t="shared" si="6"/>
        <v>1.0921676431754412</v>
      </c>
      <c r="G16" s="3">
        <f t="shared" si="7"/>
        <v>1.1341781182531063</v>
      </c>
      <c r="H16" s="6">
        <f>H17+H18+H19+H20+H21</f>
        <v>19540.5</v>
      </c>
      <c r="I16" s="39">
        <f>I17+I18+I19+I20+I21</f>
        <v>22163.3</v>
      </c>
      <c r="J16" s="42">
        <f t="shared" si="2"/>
        <v>2622.7999999999993</v>
      </c>
      <c r="K16" s="6">
        <f>K17+K18+K19+K20+K21</f>
        <v>19597.54</v>
      </c>
      <c r="L16" s="39">
        <f>L17+L18+L19+L20+L21</f>
        <v>19220.34</v>
      </c>
      <c r="M16" s="42">
        <f t="shared" si="3"/>
        <v>-377.20000000000073</v>
      </c>
      <c r="N16" s="6">
        <f t="shared" ref="N16" si="12">N17+N18+N19+N20+N21</f>
        <v>19660.3</v>
      </c>
      <c r="O16" s="39">
        <f t="shared" ref="O16" si="13">O17+O18+O19+O20+O21</f>
        <v>19283.099999999999</v>
      </c>
      <c r="P16" s="42">
        <f t="shared" si="4"/>
        <v>-377.20000000000073</v>
      </c>
      <c r="R16" s="12"/>
      <c r="S16" s="35">
        <f t="shared" si="10"/>
        <v>1.1430980772404686</v>
      </c>
      <c r="T16" s="36">
        <f t="shared" si="11"/>
        <v>1.0466324326519589</v>
      </c>
    </row>
    <row r="17" spans="1:20" ht="38.25" x14ac:dyDescent="0.2">
      <c r="A17" s="20" t="s">
        <v>15</v>
      </c>
      <c r="B17" s="4">
        <v>66</v>
      </c>
      <c r="C17" s="4">
        <v>134.04</v>
      </c>
      <c r="D17" s="4">
        <v>611.4</v>
      </c>
      <c r="E17" s="4">
        <v>103.46</v>
      </c>
      <c r="F17" s="5">
        <f t="shared" si="6"/>
        <v>0.16921818776578346</v>
      </c>
      <c r="G17" s="3">
        <f t="shared" si="7"/>
        <v>0.7718591465234258</v>
      </c>
      <c r="H17" s="24">
        <v>70</v>
      </c>
      <c r="I17" s="39">
        <v>100.8</v>
      </c>
      <c r="J17" s="42">
        <f t="shared" si="2"/>
        <v>30.799999999999997</v>
      </c>
      <c r="K17" s="24">
        <v>70</v>
      </c>
      <c r="L17" s="39">
        <v>100.8</v>
      </c>
      <c r="M17" s="42">
        <f t="shared" si="3"/>
        <v>30.799999999999997</v>
      </c>
      <c r="N17" s="24">
        <v>70</v>
      </c>
      <c r="O17" s="39">
        <v>100.8</v>
      </c>
      <c r="P17" s="42">
        <f t="shared" si="4"/>
        <v>30.799999999999997</v>
      </c>
      <c r="Q17" s="13" t="s">
        <v>65</v>
      </c>
      <c r="R17" s="13" t="s">
        <v>66</v>
      </c>
      <c r="S17" s="35">
        <f t="shared" si="10"/>
        <v>0.16486751717369971</v>
      </c>
      <c r="T17" s="36">
        <f t="shared" si="11"/>
        <v>0.97428958051420844</v>
      </c>
    </row>
    <row r="18" spans="1:20" ht="48" x14ac:dyDescent="0.2">
      <c r="A18" s="20" t="s">
        <v>16</v>
      </c>
      <c r="B18" s="4">
        <v>13900</v>
      </c>
      <c r="C18" s="4">
        <v>15270.95</v>
      </c>
      <c r="D18" s="4">
        <v>13377.4</v>
      </c>
      <c r="E18" s="4">
        <v>17468.099999999999</v>
      </c>
      <c r="F18" s="5">
        <f t="shared" si="6"/>
        <v>1.3057918579096086</v>
      </c>
      <c r="G18" s="3">
        <f t="shared" si="7"/>
        <v>1.143877754822064</v>
      </c>
      <c r="H18" s="24">
        <v>16000</v>
      </c>
      <c r="I18" s="43">
        <f>16000+2970</f>
        <v>18970</v>
      </c>
      <c r="J18" s="42">
        <f t="shared" si="2"/>
        <v>2970</v>
      </c>
      <c r="K18" s="24">
        <v>16000</v>
      </c>
      <c r="L18" s="43">
        <v>16000</v>
      </c>
      <c r="M18" s="42">
        <f t="shared" si="3"/>
        <v>0</v>
      </c>
      <c r="N18" s="24">
        <v>16000</v>
      </c>
      <c r="O18" s="43">
        <v>16000</v>
      </c>
      <c r="P18" s="42">
        <f t="shared" si="4"/>
        <v>0</v>
      </c>
      <c r="Q18" s="13" t="s">
        <v>80</v>
      </c>
      <c r="R18" s="13"/>
      <c r="S18" s="35">
        <f t="shared" si="10"/>
        <v>1.418063300790886</v>
      </c>
      <c r="T18" s="36">
        <f t="shared" si="11"/>
        <v>1.0859795856446897</v>
      </c>
    </row>
    <row r="19" spans="1:20" ht="60" x14ac:dyDescent="0.2">
      <c r="A19" s="20" t="s">
        <v>17</v>
      </c>
      <c r="B19" s="4">
        <v>800</v>
      </c>
      <c r="C19" s="4">
        <v>401.58</v>
      </c>
      <c r="D19" s="4">
        <v>1800</v>
      </c>
      <c r="E19" s="4">
        <v>599.66</v>
      </c>
      <c r="F19" s="5">
        <f t="shared" si="6"/>
        <v>0.33314444444444441</v>
      </c>
      <c r="G19" s="3">
        <f t="shared" si="7"/>
        <v>1.4932516559589621</v>
      </c>
      <c r="H19" s="24">
        <v>570.5</v>
      </c>
      <c r="I19" s="43">
        <f>570.5+30</f>
        <v>600.5</v>
      </c>
      <c r="J19" s="42">
        <f t="shared" si="2"/>
        <v>30</v>
      </c>
      <c r="K19" s="24">
        <v>627.54</v>
      </c>
      <c r="L19" s="43">
        <v>627.54</v>
      </c>
      <c r="M19" s="42">
        <f t="shared" si="3"/>
        <v>0</v>
      </c>
      <c r="N19" s="24">
        <v>690.3</v>
      </c>
      <c r="O19" s="43">
        <v>690.3</v>
      </c>
      <c r="P19" s="42">
        <f t="shared" si="4"/>
        <v>0</v>
      </c>
      <c r="Q19" s="13" t="s">
        <v>81</v>
      </c>
      <c r="R19" s="13"/>
      <c r="S19" s="35">
        <f t="shared" si="10"/>
        <v>0.33361111111111114</v>
      </c>
      <c r="T19" s="36">
        <f t="shared" si="11"/>
        <v>1.0014007937831437</v>
      </c>
    </row>
    <row r="20" spans="1:20" ht="36" x14ac:dyDescent="0.2">
      <c r="A20" s="20" t="s">
        <v>18</v>
      </c>
      <c r="B20" s="4">
        <v>0</v>
      </c>
      <c r="C20" s="4">
        <v>0</v>
      </c>
      <c r="D20" s="4">
        <v>0</v>
      </c>
      <c r="E20" s="4">
        <v>0</v>
      </c>
      <c r="F20" s="5">
        <v>0</v>
      </c>
      <c r="G20" s="3" t="e">
        <f t="shared" si="7"/>
        <v>#DIV/0!</v>
      </c>
      <c r="H20" s="6">
        <v>0</v>
      </c>
      <c r="I20" s="39">
        <v>0</v>
      </c>
      <c r="J20" s="42">
        <f t="shared" si="2"/>
        <v>0</v>
      </c>
      <c r="K20" s="6">
        <v>0</v>
      </c>
      <c r="L20" s="39">
        <v>0</v>
      </c>
      <c r="M20" s="42">
        <f t="shared" si="3"/>
        <v>0</v>
      </c>
      <c r="N20" s="6">
        <v>0</v>
      </c>
      <c r="O20" s="39">
        <v>0</v>
      </c>
      <c r="P20" s="42">
        <f t="shared" si="4"/>
        <v>0</v>
      </c>
      <c r="R20" s="12"/>
      <c r="S20" s="35" t="e">
        <f t="shared" si="10"/>
        <v>#DIV/0!</v>
      </c>
      <c r="T20" s="36" t="e">
        <f t="shared" si="11"/>
        <v>#DIV/0!</v>
      </c>
    </row>
    <row r="21" spans="1:20" ht="60" x14ac:dyDescent="0.2">
      <c r="A21" s="20" t="s">
        <v>19</v>
      </c>
      <c r="B21" s="4">
        <v>2600</v>
      </c>
      <c r="C21" s="4">
        <v>2864.06</v>
      </c>
      <c r="D21" s="4">
        <v>3600</v>
      </c>
      <c r="E21" s="4">
        <v>3004.6</v>
      </c>
      <c r="F21" s="5">
        <f t="shared" si="6"/>
        <v>0.83461111111111108</v>
      </c>
      <c r="G21" s="3">
        <f t="shared" si="7"/>
        <v>1.0490702010432742</v>
      </c>
      <c r="H21" s="24">
        <v>2900</v>
      </c>
      <c r="I21" s="43">
        <v>2492</v>
      </c>
      <c r="J21" s="42">
        <f t="shared" si="2"/>
        <v>-408</v>
      </c>
      <c r="K21" s="24">
        <v>2900</v>
      </c>
      <c r="L21" s="43">
        <v>2492</v>
      </c>
      <c r="M21" s="42">
        <f t="shared" si="3"/>
        <v>-408</v>
      </c>
      <c r="N21" s="24">
        <v>2900</v>
      </c>
      <c r="O21" s="43">
        <v>2492</v>
      </c>
      <c r="P21" s="42">
        <f t="shared" si="4"/>
        <v>-408</v>
      </c>
      <c r="Q21" s="13" t="s">
        <v>62</v>
      </c>
      <c r="R21" s="32"/>
      <c r="S21" s="35">
        <f t="shared" si="10"/>
        <v>0.69222222222222218</v>
      </c>
      <c r="T21" s="36">
        <f t="shared" si="11"/>
        <v>0.82939492777740798</v>
      </c>
    </row>
    <row r="22" spans="1:20" ht="24" x14ac:dyDescent="0.2">
      <c r="A22" s="20" t="s">
        <v>20</v>
      </c>
      <c r="B22" s="4">
        <v>4400</v>
      </c>
      <c r="C22" s="4">
        <v>4178.4399999999996</v>
      </c>
      <c r="D22" s="4">
        <v>1200</v>
      </c>
      <c r="E22" s="4">
        <v>1242</v>
      </c>
      <c r="F22" s="5">
        <f t="shared" si="6"/>
        <v>1.0349999999999999</v>
      </c>
      <c r="G22" s="3">
        <f t="shared" si="7"/>
        <v>0.2972401183216703</v>
      </c>
      <c r="H22" s="24">
        <v>1200</v>
      </c>
      <c r="I22" s="43">
        <v>7982.4</v>
      </c>
      <c r="J22" s="42">
        <f t="shared" si="2"/>
        <v>6782.4</v>
      </c>
      <c r="K22" s="24">
        <v>1200</v>
      </c>
      <c r="L22" s="43">
        <v>8301.7000000000007</v>
      </c>
      <c r="M22" s="42">
        <f t="shared" si="3"/>
        <v>7101.7000000000007</v>
      </c>
      <c r="N22" s="24">
        <v>8301.7000000000007</v>
      </c>
      <c r="O22" s="43">
        <v>3072.38</v>
      </c>
      <c r="P22" s="42">
        <f t="shared" si="4"/>
        <v>-5229.3200000000006</v>
      </c>
      <c r="Q22" s="13" t="s">
        <v>79</v>
      </c>
      <c r="R22" s="13"/>
      <c r="S22" s="35">
        <f t="shared" si="10"/>
        <v>6.6520000000000001</v>
      </c>
      <c r="T22" s="36">
        <f t="shared" si="11"/>
        <v>6.4270531400966178</v>
      </c>
    </row>
    <row r="23" spans="1:20" ht="24" x14ac:dyDescent="0.2">
      <c r="A23" s="20" t="s">
        <v>21</v>
      </c>
      <c r="B23" s="4">
        <v>25000</v>
      </c>
      <c r="C23" s="4">
        <v>27223</v>
      </c>
      <c r="D23" s="4">
        <v>25000</v>
      </c>
      <c r="E23" s="4">
        <v>23151.77</v>
      </c>
      <c r="F23" s="5">
        <f t="shared" si="6"/>
        <v>0.92607079999999997</v>
      </c>
      <c r="G23" s="3">
        <f t="shared" si="7"/>
        <v>0.85044888513389416</v>
      </c>
      <c r="H23" s="6">
        <v>25000</v>
      </c>
      <c r="I23" s="39">
        <v>25000</v>
      </c>
      <c r="J23" s="42">
        <f t="shared" si="2"/>
        <v>0</v>
      </c>
      <c r="K23" s="6">
        <v>25000</v>
      </c>
      <c r="L23" s="39">
        <v>25000</v>
      </c>
      <c r="M23" s="42">
        <f t="shared" si="3"/>
        <v>0</v>
      </c>
      <c r="N23" s="6">
        <v>25000</v>
      </c>
      <c r="O23" s="39">
        <v>25000</v>
      </c>
      <c r="P23" s="42">
        <f t="shared" si="4"/>
        <v>0</v>
      </c>
      <c r="Q23" s="12" t="s">
        <v>39</v>
      </c>
      <c r="R23" s="13" t="s">
        <v>68</v>
      </c>
      <c r="S23" s="35">
        <f t="shared" si="10"/>
        <v>1</v>
      </c>
      <c r="T23" s="36">
        <f t="shared" si="11"/>
        <v>1.0798310453153257</v>
      </c>
    </row>
    <row r="24" spans="1:20" ht="24" x14ac:dyDescent="0.2">
      <c r="A24" s="20" t="s">
        <v>22</v>
      </c>
      <c r="B24" s="4">
        <f>B25+B26</f>
        <v>3857</v>
      </c>
      <c r="C24" s="4">
        <f t="shared" ref="C24:E24" si="14">C25+C26</f>
        <v>4266.6499999999996</v>
      </c>
      <c r="D24" s="4">
        <f t="shared" si="14"/>
        <v>5357</v>
      </c>
      <c r="E24" s="4">
        <f t="shared" si="14"/>
        <v>5097.18</v>
      </c>
      <c r="F24" s="5">
        <f t="shared" si="6"/>
        <v>0.9514989733059549</v>
      </c>
      <c r="G24" s="3">
        <f t="shared" si="7"/>
        <v>1.1946562291258951</v>
      </c>
      <c r="H24" s="6">
        <f t="shared" ref="H24" si="15">H25+H26</f>
        <v>5392.33</v>
      </c>
      <c r="I24" s="39">
        <f t="shared" ref="I24:O24" si="16">I25+I26</f>
        <v>5392.33</v>
      </c>
      <c r="J24" s="42">
        <f t="shared" si="2"/>
        <v>0</v>
      </c>
      <c r="K24" s="6">
        <f t="shared" ref="K24" si="17">K25+K26</f>
        <v>5431.56</v>
      </c>
      <c r="L24" s="39">
        <f t="shared" si="16"/>
        <v>5431.56</v>
      </c>
      <c r="M24" s="42">
        <f t="shared" si="3"/>
        <v>0</v>
      </c>
      <c r="N24" s="6">
        <f t="shared" si="16"/>
        <v>5474.72</v>
      </c>
      <c r="O24" s="39">
        <f t="shared" si="16"/>
        <v>5474.72</v>
      </c>
      <c r="P24" s="42">
        <f t="shared" si="4"/>
        <v>0</v>
      </c>
      <c r="Q24" s="23"/>
      <c r="R24" s="23"/>
      <c r="S24" s="35">
        <f t="shared" si="10"/>
        <v>1.0065951092029122</v>
      </c>
      <c r="T24" s="36">
        <f t="shared" si="11"/>
        <v>1.0579045668389186</v>
      </c>
    </row>
    <row r="25" spans="1:20" ht="48" x14ac:dyDescent="0.2">
      <c r="A25" s="20" t="s">
        <v>23</v>
      </c>
      <c r="B25" s="4">
        <v>357</v>
      </c>
      <c r="C25" s="4">
        <v>618.19000000000005</v>
      </c>
      <c r="D25" s="4">
        <v>357</v>
      </c>
      <c r="E25" s="4">
        <v>1845.57</v>
      </c>
      <c r="F25" s="5">
        <f t="shared" si="6"/>
        <v>5.1696638655462186</v>
      </c>
      <c r="G25" s="3">
        <f t="shared" si="7"/>
        <v>2.985441369158349</v>
      </c>
      <c r="H25" s="24">
        <v>392.33</v>
      </c>
      <c r="I25" s="43">
        <v>392.33</v>
      </c>
      <c r="J25" s="42">
        <f t="shared" si="2"/>
        <v>0</v>
      </c>
      <c r="K25" s="24">
        <v>431.56</v>
      </c>
      <c r="L25" s="43">
        <v>431.56</v>
      </c>
      <c r="M25" s="42">
        <f t="shared" si="3"/>
        <v>0</v>
      </c>
      <c r="N25" s="24">
        <v>474.72</v>
      </c>
      <c r="O25" s="43">
        <v>474.72</v>
      </c>
      <c r="P25" s="42">
        <f t="shared" si="4"/>
        <v>0</v>
      </c>
      <c r="Q25" s="13" t="s">
        <v>41</v>
      </c>
      <c r="R25" s="13"/>
      <c r="S25" s="35">
        <f t="shared" si="10"/>
        <v>1.0989635854341737</v>
      </c>
      <c r="T25" s="36">
        <f t="shared" si="11"/>
        <v>0.21257931154060805</v>
      </c>
    </row>
    <row r="26" spans="1:20" ht="24" x14ac:dyDescent="0.2">
      <c r="A26" s="20" t="s">
        <v>24</v>
      </c>
      <c r="B26" s="4">
        <v>3500</v>
      </c>
      <c r="C26" s="4">
        <v>3648.46</v>
      </c>
      <c r="D26" s="4">
        <v>5000</v>
      </c>
      <c r="E26" s="4">
        <v>3251.61</v>
      </c>
      <c r="F26" s="5">
        <f t="shared" si="6"/>
        <v>0.65032200000000007</v>
      </c>
      <c r="G26" s="3">
        <f t="shared" si="7"/>
        <v>0.89122807979257002</v>
      </c>
      <c r="H26" s="24">
        <v>5000</v>
      </c>
      <c r="I26" s="43">
        <v>5000</v>
      </c>
      <c r="J26" s="42">
        <f t="shared" si="2"/>
        <v>0</v>
      </c>
      <c r="K26" s="24">
        <v>5000</v>
      </c>
      <c r="L26" s="43">
        <v>5000</v>
      </c>
      <c r="M26" s="42">
        <f t="shared" si="3"/>
        <v>0</v>
      </c>
      <c r="N26" s="24">
        <v>5000</v>
      </c>
      <c r="O26" s="43">
        <v>5000</v>
      </c>
      <c r="P26" s="42">
        <f t="shared" si="4"/>
        <v>0</v>
      </c>
      <c r="Q26" s="13" t="s">
        <v>40</v>
      </c>
      <c r="R26" s="13"/>
      <c r="S26" s="35">
        <f t="shared" si="10"/>
        <v>1</v>
      </c>
      <c r="T26" s="36">
        <f t="shared" si="11"/>
        <v>1.5376997856446499</v>
      </c>
    </row>
    <row r="27" spans="1:20" ht="25.5" x14ac:dyDescent="0.2">
      <c r="A27" s="20" t="s">
        <v>25</v>
      </c>
      <c r="B27" s="4">
        <v>4000</v>
      </c>
      <c r="C27" s="4">
        <v>2167.96</v>
      </c>
      <c r="D27" s="4">
        <v>2000</v>
      </c>
      <c r="E27" s="4">
        <v>1728.14</v>
      </c>
      <c r="F27" s="5">
        <f t="shared" si="6"/>
        <v>0.86407</v>
      </c>
      <c r="G27" s="3">
        <f t="shared" si="7"/>
        <v>0.79712725327035561</v>
      </c>
      <c r="H27" s="24">
        <v>1500</v>
      </c>
      <c r="I27" s="43">
        <v>2552.06</v>
      </c>
      <c r="J27" s="42">
        <f t="shared" si="2"/>
        <v>1052.06</v>
      </c>
      <c r="K27" s="24">
        <v>1500</v>
      </c>
      <c r="L27" s="43">
        <v>2552.06</v>
      </c>
      <c r="M27" s="42">
        <f t="shared" si="3"/>
        <v>1052.06</v>
      </c>
      <c r="N27" s="24">
        <v>1500</v>
      </c>
      <c r="O27" s="43">
        <v>2552.06</v>
      </c>
      <c r="P27" s="42">
        <f t="shared" si="4"/>
        <v>1052.06</v>
      </c>
      <c r="Q27" s="13" t="s">
        <v>57</v>
      </c>
      <c r="R27" s="13"/>
      <c r="S27" s="35">
        <f t="shared" si="10"/>
        <v>1.27603</v>
      </c>
      <c r="T27" s="36">
        <f t="shared" si="11"/>
        <v>1.4767669286053211</v>
      </c>
    </row>
    <row r="28" spans="1:20" ht="25.5" x14ac:dyDescent="0.2">
      <c r="A28" s="20" t="s">
        <v>26</v>
      </c>
      <c r="B28" s="4">
        <v>225</v>
      </c>
      <c r="C28" s="4">
        <v>249.29</v>
      </c>
      <c r="D28" s="4">
        <v>226</v>
      </c>
      <c r="E28" s="4">
        <v>496.65</v>
      </c>
      <c r="F28" s="5">
        <f t="shared" si="6"/>
        <v>2.197566371681416</v>
      </c>
      <c r="G28" s="3">
        <f>E28/C28</f>
        <v>1.9922580127562277</v>
      </c>
      <c r="H28" s="24">
        <v>348</v>
      </c>
      <c r="I28" s="43">
        <v>323.14</v>
      </c>
      <c r="J28" s="42">
        <f t="shared" si="2"/>
        <v>-24.860000000000014</v>
      </c>
      <c r="K28" s="24">
        <v>348</v>
      </c>
      <c r="L28" s="43">
        <v>323.14</v>
      </c>
      <c r="M28" s="42">
        <f t="shared" si="3"/>
        <v>-24.860000000000014</v>
      </c>
      <c r="N28" s="24">
        <v>348</v>
      </c>
      <c r="O28" s="43">
        <v>323.14</v>
      </c>
      <c r="P28" s="42">
        <f t="shared" si="4"/>
        <v>-24.860000000000014</v>
      </c>
      <c r="Q28" s="13" t="s">
        <v>64</v>
      </c>
      <c r="R28" s="13"/>
      <c r="S28" s="35">
        <f t="shared" si="10"/>
        <v>1.4298230088495574</v>
      </c>
      <c r="T28" s="36">
        <f t="shared" si="11"/>
        <v>0.6506392831974227</v>
      </c>
    </row>
    <row r="29" spans="1:20" s="29" customFormat="1" ht="14.25" x14ac:dyDescent="0.2">
      <c r="A29" s="21" t="s">
        <v>28</v>
      </c>
      <c r="B29" s="1">
        <f>B7+B23</f>
        <v>270876</v>
      </c>
      <c r="C29" s="1">
        <f>C7+C23</f>
        <v>269854.67</v>
      </c>
      <c r="D29" s="1">
        <f>D7+D23</f>
        <v>286090.8</v>
      </c>
      <c r="E29" s="1">
        <f>E7+E23</f>
        <v>285983.8</v>
      </c>
      <c r="F29" s="9">
        <f t="shared" si="6"/>
        <v>0.99962599286660037</v>
      </c>
      <c r="G29" s="2">
        <f t="shared" si="7"/>
        <v>1.0597696901076421</v>
      </c>
      <c r="H29" s="1">
        <f>H7+H23</f>
        <v>316262</v>
      </c>
      <c r="I29" s="40">
        <f>I7+I23</f>
        <v>309419.05000000005</v>
      </c>
      <c r="J29" s="42">
        <f t="shared" si="2"/>
        <v>-6842.9499999999534</v>
      </c>
      <c r="K29" s="1">
        <f>K7+K23</f>
        <v>316262</v>
      </c>
      <c r="L29" s="40">
        <f>L7+L23</f>
        <v>301949.54000000004</v>
      </c>
      <c r="M29" s="42">
        <f>L29-K29</f>
        <v>-14312.459999999963</v>
      </c>
      <c r="N29" s="1">
        <f>N7+N23</f>
        <v>316262</v>
      </c>
      <c r="O29" s="40">
        <f t="shared" ref="O29" si="18">O7+O23</f>
        <v>296841.11</v>
      </c>
      <c r="P29" s="42">
        <f t="shared" si="4"/>
        <v>-19420.890000000014</v>
      </c>
      <c r="Q29" s="14"/>
      <c r="R29" s="14"/>
      <c r="S29" s="35">
        <f t="shared" si="10"/>
        <v>1.0815414197170969</v>
      </c>
      <c r="T29" s="36">
        <f t="shared" si="11"/>
        <v>1.0819460752672005</v>
      </c>
    </row>
    <row r="32" spans="1:20" ht="15" x14ac:dyDescent="0.2">
      <c r="C32" s="30"/>
      <c r="E32" s="30"/>
    </row>
    <row r="36" spans="3:5" ht="15" x14ac:dyDescent="0.2">
      <c r="C36" s="30"/>
      <c r="D36" s="30"/>
      <c r="E36" s="30"/>
    </row>
    <row r="37" spans="3:5" ht="15" x14ac:dyDescent="0.2">
      <c r="C37" s="30"/>
      <c r="D37" s="30"/>
      <c r="E37" s="30"/>
    </row>
    <row r="38" spans="3:5" ht="15" x14ac:dyDescent="0.2">
      <c r="C38" s="30"/>
      <c r="D38" s="30"/>
      <c r="E38" s="30"/>
    </row>
    <row r="39" spans="3:5" ht="15" x14ac:dyDescent="0.2">
      <c r="C39" s="30"/>
      <c r="D39" s="30"/>
      <c r="E39" s="30"/>
    </row>
    <row r="40" spans="3:5" ht="15" x14ac:dyDescent="0.2">
      <c r="C40" s="30"/>
      <c r="D40" s="30"/>
      <c r="E40" s="30"/>
    </row>
    <row r="41" spans="3:5" ht="15.75" x14ac:dyDescent="0.2">
      <c r="C41" s="31"/>
      <c r="D41" s="30"/>
      <c r="E41" s="30"/>
    </row>
    <row r="42" spans="3:5" ht="15" x14ac:dyDescent="0.2">
      <c r="C42" s="30"/>
      <c r="D42" s="30"/>
      <c r="E42" s="30"/>
    </row>
  </sheetData>
  <mergeCells count="2">
    <mergeCell ref="A2:O2"/>
    <mergeCell ref="A3:F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zoomScale="80" zoomScaleNormal="80" zoomScaleSheetLayoutView="80" workbookViewId="0">
      <selection activeCell="K19" sqref="K19"/>
    </sheetView>
  </sheetViews>
  <sheetFormatPr defaultColWidth="9.33203125" defaultRowHeight="30" customHeight="1" x14ac:dyDescent="0.2"/>
  <cols>
    <col min="1" max="1" width="68.1640625" style="15" customWidth="1"/>
    <col min="2" max="2" width="21.5" style="15" hidden="1" customWidth="1"/>
    <col min="3" max="3" width="22.83203125" style="15" hidden="1" customWidth="1"/>
    <col min="4" max="4" width="0.33203125" style="15" hidden="1" customWidth="1"/>
    <col min="5" max="5" width="18.33203125" style="15" customWidth="1"/>
    <col min="6" max="6" width="17.83203125" style="15" hidden="1" customWidth="1"/>
    <col min="7" max="7" width="17.6640625" style="15" hidden="1" customWidth="1"/>
    <col min="8" max="8" width="25.1640625" style="15" customWidth="1"/>
    <col min="9" max="9" width="18.33203125" style="15" customWidth="1"/>
    <col min="10" max="10" width="18.6640625" style="48" hidden="1" customWidth="1"/>
    <col min="11" max="11" width="18.6640625" style="15" hidden="1" customWidth="1"/>
    <col min="12" max="13" width="18.6640625" style="48" customWidth="1"/>
    <col min="14" max="14" width="18" style="15" customWidth="1"/>
    <col min="15" max="15" width="18.6640625" style="48" hidden="1" customWidth="1"/>
    <col min="16" max="16" width="18.6640625" style="15" hidden="1" customWidth="1"/>
    <col min="17" max="18" width="18.6640625" style="48" customWidth="1"/>
    <col min="19" max="19" width="18.5" style="15" customWidth="1"/>
    <col min="20" max="20" width="18.6640625" style="48" hidden="1" customWidth="1"/>
    <col min="21" max="22" width="18.6640625" style="48" customWidth="1"/>
    <col min="23" max="23" width="0.33203125" style="12" hidden="1" customWidth="1"/>
    <col min="24" max="24" width="31.33203125" style="15" hidden="1" customWidth="1"/>
    <col min="25" max="25" width="14.33203125" style="15" hidden="1" customWidth="1"/>
    <col min="26" max="26" width="9.33203125" style="15" hidden="1" customWidth="1"/>
    <col min="27" max="16384" width="9.33203125" style="15"/>
  </cols>
  <sheetData>
    <row r="1" spans="1:27" ht="12.95" customHeight="1" x14ac:dyDescent="0.2">
      <c r="C1" s="25"/>
      <c r="D1" s="25"/>
      <c r="E1" s="25"/>
      <c r="F1" s="25"/>
      <c r="G1" s="25"/>
      <c r="H1" s="25"/>
      <c r="I1" s="25"/>
      <c r="J1" s="45"/>
      <c r="K1" s="25"/>
      <c r="L1" s="45"/>
      <c r="M1" s="45"/>
      <c r="N1" s="25"/>
      <c r="O1" s="45"/>
      <c r="P1" s="25"/>
      <c r="Q1" s="45"/>
      <c r="R1" s="45"/>
      <c r="S1" s="25"/>
      <c r="T1" s="45"/>
      <c r="U1" s="45"/>
      <c r="V1" s="45"/>
      <c r="X1" s="12"/>
    </row>
    <row r="2" spans="1:27" ht="12.95" customHeight="1" x14ac:dyDescent="0.2">
      <c r="A2" s="153" t="s">
        <v>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49"/>
      <c r="U2" s="49"/>
      <c r="V2" s="49"/>
      <c r="X2" s="12"/>
    </row>
    <row r="3" spans="1:27" ht="12.95" customHeight="1" x14ac:dyDescent="0.2">
      <c r="A3" s="154"/>
      <c r="B3" s="154"/>
      <c r="C3" s="154"/>
      <c r="D3" s="154"/>
      <c r="E3" s="154"/>
      <c r="F3" s="154"/>
      <c r="G3" s="44"/>
      <c r="H3" s="44"/>
      <c r="I3" s="44"/>
      <c r="J3" s="46"/>
      <c r="K3" s="44"/>
      <c r="L3" s="46"/>
      <c r="M3" s="46"/>
      <c r="N3" s="44"/>
      <c r="O3" s="46"/>
      <c r="P3" s="44"/>
      <c r="Q3" s="46"/>
      <c r="R3" s="46"/>
      <c r="S3" s="44"/>
      <c r="T3" s="46"/>
      <c r="U3" s="46"/>
      <c r="V3" s="46"/>
      <c r="X3" s="12"/>
    </row>
    <row r="4" spans="1:27" ht="12.95" customHeight="1" x14ac:dyDescent="0.2">
      <c r="A4" s="16"/>
      <c r="B4" s="16"/>
      <c r="C4" s="27"/>
      <c r="D4" s="27"/>
      <c r="E4" s="27"/>
      <c r="F4" s="27"/>
      <c r="G4" s="27"/>
      <c r="H4" s="27"/>
      <c r="I4" s="27"/>
      <c r="J4" s="47"/>
      <c r="K4" s="27"/>
      <c r="L4" s="47"/>
      <c r="M4" s="47"/>
      <c r="N4" s="27"/>
      <c r="O4" s="47"/>
      <c r="P4" s="27"/>
      <c r="Q4" s="47"/>
      <c r="R4" s="47"/>
      <c r="S4" s="27"/>
      <c r="T4" s="47"/>
      <c r="U4" s="47"/>
      <c r="V4" s="47"/>
      <c r="X4" s="12"/>
    </row>
    <row r="5" spans="1:27" ht="51.75" customHeight="1" x14ac:dyDescent="0.2">
      <c r="A5" s="17" t="s">
        <v>0</v>
      </c>
      <c r="B5" s="10" t="s">
        <v>27</v>
      </c>
      <c r="C5" s="54" t="s">
        <v>34</v>
      </c>
      <c r="D5" s="55" t="s">
        <v>35</v>
      </c>
      <c r="E5" s="55" t="s">
        <v>51</v>
      </c>
      <c r="F5" s="56" t="s">
        <v>52</v>
      </c>
      <c r="G5" s="56" t="s">
        <v>53</v>
      </c>
      <c r="H5" s="57" t="s">
        <v>71</v>
      </c>
      <c r="I5" s="56" t="s">
        <v>83</v>
      </c>
      <c r="J5" s="58" t="s">
        <v>72</v>
      </c>
      <c r="K5" s="57" t="s">
        <v>74</v>
      </c>
      <c r="L5" s="59" t="s">
        <v>91</v>
      </c>
      <c r="M5" s="58" t="s">
        <v>72</v>
      </c>
      <c r="N5" s="56" t="s">
        <v>84</v>
      </c>
      <c r="O5" s="58" t="s">
        <v>72</v>
      </c>
      <c r="P5" s="57" t="s">
        <v>73</v>
      </c>
      <c r="Q5" s="59" t="s">
        <v>92</v>
      </c>
      <c r="R5" s="58" t="s">
        <v>72</v>
      </c>
      <c r="S5" s="56" t="s">
        <v>90</v>
      </c>
      <c r="T5" s="56" t="s">
        <v>72</v>
      </c>
      <c r="U5" s="59" t="s">
        <v>93</v>
      </c>
      <c r="V5" s="58" t="s">
        <v>72</v>
      </c>
      <c r="X5" s="12"/>
      <c r="AA5" s="48"/>
    </row>
    <row r="6" spans="1:27" ht="12.75" customHeight="1" x14ac:dyDescent="0.2">
      <c r="A6" s="18" t="s">
        <v>2</v>
      </c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29</v>
      </c>
      <c r="H6" s="18" t="s">
        <v>30</v>
      </c>
      <c r="I6" s="18" t="s">
        <v>31</v>
      </c>
      <c r="J6" s="18" t="s">
        <v>32</v>
      </c>
      <c r="K6" s="18" t="s">
        <v>33</v>
      </c>
      <c r="L6" s="18" t="s">
        <v>42</v>
      </c>
      <c r="M6" s="18" t="s">
        <v>43</v>
      </c>
      <c r="N6" s="18" t="s">
        <v>75</v>
      </c>
      <c r="O6" s="18" t="s">
        <v>76</v>
      </c>
      <c r="P6" s="18" t="s">
        <v>77</v>
      </c>
      <c r="Q6" s="18" t="s">
        <v>78</v>
      </c>
      <c r="R6" s="18" t="s">
        <v>85</v>
      </c>
      <c r="S6" s="18" t="s">
        <v>86</v>
      </c>
      <c r="T6" s="18" t="s">
        <v>87</v>
      </c>
      <c r="U6" s="18" t="s">
        <v>88</v>
      </c>
      <c r="V6" s="18" t="s">
        <v>89</v>
      </c>
      <c r="X6" s="12"/>
      <c r="AA6" s="48"/>
    </row>
    <row r="7" spans="1:27" ht="17.100000000000001" customHeight="1" x14ac:dyDescent="0.2">
      <c r="A7" s="19" t="s">
        <v>8</v>
      </c>
      <c r="B7" s="1">
        <f>B8+B10+B14+B15+B16+B22+B24+B27+B28</f>
        <v>245876</v>
      </c>
      <c r="C7" s="1">
        <f>C8+C10+C14+C15+C16+C22+C24+C27+C28</f>
        <v>242631.66999999998</v>
      </c>
      <c r="D7" s="1">
        <f>D8+D10+D14+D15+D16+D22+D24+D27+D28</f>
        <v>261090.8</v>
      </c>
      <c r="E7" s="1">
        <f>E8+E10+E14+E15+E16+E22+E24+E27+E28</f>
        <v>262832.02999999997</v>
      </c>
      <c r="F7" s="2">
        <f>E7/D7</f>
        <v>1.0066690591932002</v>
      </c>
      <c r="G7" s="2">
        <f>E7/C7</f>
        <v>1.0832552485831712</v>
      </c>
      <c r="H7" s="8">
        <f>H8+H9+H10+H14+H15+H16+H22+H24+H27+H28</f>
        <v>294262.83</v>
      </c>
      <c r="I7" s="40">
        <f>I8+I9+I10+I14+I15+I16+I22+I24+I27+I28</f>
        <v>284319.05000000005</v>
      </c>
      <c r="J7" s="11">
        <f>I7-H7</f>
        <v>-9943.7799999999697</v>
      </c>
      <c r="K7" s="8">
        <f>K8+K9+K13+K14+K15+K21+K23+K26+K27</f>
        <v>291262</v>
      </c>
      <c r="L7" s="42">
        <f>L8+L9+L10+L14+L15+L16+L22+L24+L27+L28</f>
        <v>279087.79000000004</v>
      </c>
      <c r="M7" s="11">
        <f>L7-I7</f>
        <v>-5231.2600000000093</v>
      </c>
      <c r="N7" s="40">
        <f t="shared" ref="N7:S7" si="0">N8+N9+N10+N14+N15+N16+N22+N24+N27+N28</f>
        <v>276949.54000000004</v>
      </c>
      <c r="O7" s="11">
        <f t="shared" ref="O7:O29" si="1">N7-K7</f>
        <v>-14312.459999999963</v>
      </c>
      <c r="P7" s="8">
        <f t="shared" ref="P7" si="2">P8+P9+P13+P14+P15+P21+P23+P26+P27</f>
        <v>291262</v>
      </c>
      <c r="Q7" s="42">
        <f t="shared" ref="Q7" si="3">Q8+Q9+Q10+Q14+Q15+Q16+Q22+Q24+Q27+Q28</f>
        <v>276949.54000000004</v>
      </c>
      <c r="R7" s="11">
        <f>Q7-N7</f>
        <v>0</v>
      </c>
      <c r="S7" s="40">
        <f t="shared" si="0"/>
        <v>271841.11</v>
      </c>
      <c r="T7" s="40">
        <f t="shared" ref="T7:U7" si="4">T8+T9+T10+T14+T15+T16+T22+T24+T27+T28</f>
        <v>271841.11</v>
      </c>
      <c r="U7" s="42">
        <f t="shared" si="4"/>
        <v>277070.44</v>
      </c>
      <c r="V7" s="11">
        <f>U7-S7</f>
        <v>5229.3300000000163</v>
      </c>
      <c r="X7" s="12"/>
      <c r="Y7" s="35">
        <f>I7/D7</f>
        <v>1.0889661757518843</v>
      </c>
      <c r="Z7" s="36">
        <f>I7/E7</f>
        <v>1.0817519082434515</v>
      </c>
      <c r="AA7" s="48"/>
    </row>
    <row r="8" spans="1:27" ht="17.100000000000001" customHeight="1" x14ac:dyDescent="0.2">
      <c r="A8" s="20" t="s">
        <v>38</v>
      </c>
      <c r="B8" s="4">
        <v>201000</v>
      </c>
      <c r="C8" s="4">
        <v>201224.3</v>
      </c>
      <c r="D8" s="4">
        <v>219312</v>
      </c>
      <c r="E8" s="4">
        <v>223615.24</v>
      </c>
      <c r="F8" s="5">
        <f>E8/D8</f>
        <v>1.0196215437367768</v>
      </c>
      <c r="G8" s="3">
        <f>E8/C8</f>
        <v>1.1112735390308228</v>
      </c>
      <c r="H8" s="24">
        <v>254995</v>
      </c>
      <c r="I8" s="43">
        <v>239044.69</v>
      </c>
      <c r="J8" s="11">
        <f t="shared" ref="J8:J29" si="5">I8-H8</f>
        <v>-15950.309999999998</v>
      </c>
      <c r="K8" s="24">
        <v>254995</v>
      </c>
      <c r="L8" s="52">
        <v>235269.69</v>
      </c>
      <c r="M8" s="50">
        <f t="shared" ref="M8:M28" si="6">L8-I8</f>
        <v>-3775</v>
      </c>
      <c r="N8" s="43">
        <v>239044.69</v>
      </c>
      <c r="O8" s="11">
        <f t="shared" si="1"/>
        <v>-15950.309999999998</v>
      </c>
      <c r="P8" s="24">
        <v>254995</v>
      </c>
      <c r="Q8" s="52">
        <v>239044.69</v>
      </c>
      <c r="R8" s="50">
        <f t="shared" ref="R8:R29" si="7">Q8-N8</f>
        <v>0</v>
      </c>
      <c r="S8" s="43">
        <v>239044.69</v>
      </c>
      <c r="T8" s="43">
        <v>239044.69</v>
      </c>
      <c r="U8" s="52">
        <v>239044.69</v>
      </c>
      <c r="V8" s="50">
        <f t="shared" ref="V8:V29" si="8">U8-S8</f>
        <v>0</v>
      </c>
      <c r="W8" s="13" t="s">
        <v>56</v>
      </c>
      <c r="X8" s="13"/>
      <c r="Y8" s="35">
        <f>I8/D8</f>
        <v>1.0899754231414607</v>
      </c>
      <c r="Z8" s="36">
        <f>I8/E8</f>
        <v>1.0689999930237313</v>
      </c>
      <c r="AA8" s="48"/>
    </row>
    <row r="9" spans="1:27" ht="30" customHeight="1" x14ac:dyDescent="0.2">
      <c r="A9" s="20" t="s">
        <v>54</v>
      </c>
      <c r="B9" s="4">
        <v>0</v>
      </c>
      <c r="C9" s="4">
        <v>0</v>
      </c>
      <c r="D9" s="4">
        <v>0</v>
      </c>
      <c r="E9" s="4">
        <v>0</v>
      </c>
      <c r="F9" s="5">
        <v>0</v>
      </c>
      <c r="G9" s="3">
        <v>0</v>
      </c>
      <c r="H9" s="24">
        <v>0</v>
      </c>
      <c r="I9" s="43">
        <v>166.15</v>
      </c>
      <c r="J9" s="11">
        <f t="shared" si="5"/>
        <v>166.15</v>
      </c>
      <c r="K9" s="24">
        <v>0</v>
      </c>
      <c r="L9" s="52">
        <v>166.13</v>
      </c>
      <c r="M9" s="50">
        <f t="shared" si="6"/>
        <v>-2.0000000000010232E-2</v>
      </c>
      <c r="N9" s="43">
        <v>165.35</v>
      </c>
      <c r="O9" s="11">
        <f t="shared" si="1"/>
        <v>165.35</v>
      </c>
      <c r="P9" s="24">
        <v>0</v>
      </c>
      <c r="Q9" s="52">
        <v>165.35</v>
      </c>
      <c r="R9" s="50">
        <f t="shared" si="7"/>
        <v>0</v>
      </c>
      <c r="S9" s="43">
        <v>180.32</v>
      </c>
      <c r="T9" s="43">
        <v>180.32</v>
      </c>
      <c r="U9" s="52">
        <v>180.33</v>
      </c>
      <c r="V9" s="50">
        <f t="shared" si="8"/>
        <v>1.0000000000019327E-2</v>
      </c>
      <c r="W9" s="13" t="s">
        <v>55</v>
      </c>
      <c r="X9" s="13"/>
      <c r="Y9" s="35">
        <v>1</v>
      </c>
      <c r="Z9" s="36">
        <v>1</v>
      </c>
      <c r="AA9" s="48"/>
    </row>
    <row r="10" spans="1:27" ht="17.100000000000001" customHeight="1" x14ac:dyDescent="0.2">
      <c r="A10" s="20" t="s">
        <v>37</v>
      </c>
      <c r="B10" s="4">
        <f>B11+B12+B13</f>
        <v>13521.3</v>
      </c>
      <c r="C10" s="4">
        <f t="shared" ref="C10:E10" si="9">C11+C12+C13</f>
        <v>10568.880000000001</v>
      </c>
      <c r="D10" s="4">
        <f>D11+D12+D13</f>
        <v>12100.2</v>
      </c>
      <c r="E10" s="4">
        <f t="shared" si="9"/>
        <v>8316.8000000000011</v>
      </c>
      <c r="F10" s="5">
        <f t="shared" ref="F10:F29" si="10">E10/D10</f>
        <v>0.68732748219037709</v>
      </c>
      <c r="G10" s="3">
        <f t="shared" ref="G10:G29" si="11">E10/C10</f>
        <v>0.78691403441045793</v>
      </c>
      <c r="H10" s="6">
        <f>H11+H12+H13</f>
        <v>9780.2000000000007</v>
      </c>
      <c r="I10" s="39">
        <f>I11+I12+I13</f>
        <v>5441.85</v>
      </c>
      <c r="J10" s="11">
        <f t="shared" si="5"/>
        <v>-4338.3500000000004</v>
      </c>
      <c r="K10" s="6">
        <f t="shared" ref="K10:S10" si="12">K11+K12+K13</f>
        <v>9780.2000000000007</v>
      </c>
      <c r="L10" s="53">
        <f>L11+L12+L13</f>
        <v>7832.1100000000006</v>
      </c>
      <c r="M10" s="51">
        <f t="shared" si="6"/>
        <v>2390.2600000000002</v>
      </c>
      <c r="N10" s="39">
        <f t="shared" si="12"/>
        <v>557.57000000000005</v>
      </c>
      <c r="O10" s="11">
        <f t="shared" si="1"/>
        <v>-9222.630000000001</v>
      </c>
      <c r="P10" s="6">
        <f t="shared" si="12"/>
        <v>9780.2000000000007</v>
      </c>
      <c r="Q10" s="53">
        <f t="shared" ref="Q10" si="13">Q11+Q12+Q13</f>
        <v>557.57000000000005</v>
      </c>
      <c r="R10" s="51">
        <f t="shared" si="7"/>
        <v>0</v>
      </c>
      <c r="S10" s="39">
        <f t="shared" si="12"/>
        <v>557.57000000000005</v>
      </c>
      <c r="T10" s="39">
        <f t="shared" ref="T10:U10" si="14">T11+T12+T13</f>
        <v>557.57000000000005</v>
      </c>
      <c r="U10" s="53">
        <f t="shared" si="14"/>
        <v>557.57000000000005</v>
      </c>
      <c r="V10" s="51">
        <f t="shared" si="8"/>
        <v>0</v>
      </c>
      <c r="X10" s="12"/>
      <c r="Y10" s="35">
        <f t="shared" ref="Y10:Y29" si="15">I10/D10</f>
        <v>0.44973223583081273</v>
      </c>
      <c r="Z10" s="36">
        <f t="shared" ref="Z10:Z29" si="16">I10/E10</f>
        <v>0.65432017121969988</v>
      </c>
      <c r="AA10" s="48"/>
    </row>
    <row r="11" spans="1:27" ht="15" customHeight="1" x14ac:dyDescent="0.2">
      <c r="A11" s="20" t="s">
        <v>9</v>
      </c>
      <c r="B11" s="4">
        <v>13025</v>
      </c>
      <c r="C11" s="4">
        <v>10411.34</v>
      </c>
      <c r="D11" s="4">
        <v>11600</v>
      </c>
      <c r="E11" s="4">
        <v>7647.81</v>
      </c>
      <c r="F11" s="5">
        <f t="shared" si="10"/>
        <v>0.6592939655172414</v>
      </c>
      <c r="G11" s="3">
        <f t="shared" si="11"/>
        <v>0.73456538735647858</v>
      </c>
      <c r="H11" s="24">
        <v>9280</v>
      </c>
      <c r="I11" s="43">
        <v>4884.28</v>
      </c>
      <c r="J11" s="11">
        <f t="shared" si="5"/>
        <v>-4395.72</v>
      </c>
      <c r="K11" s="24">
        <v>9280</v>
      </c>
      <c r="L11" s="52">
        <v>7274.54</v>
      </c>
      <c r="M11" s="50">
        <f t="shared" si="6"/>
        <v>2390.2600000000002</v>
      </c>
      <c r="N11" s="43">
        <v>0</v>
      </c>
      <c r="O11" s="11">
        <f t="shared" si="1"/>
        <v>-9280</v>
      </c>
      <c r="P11" s="24">
        <v>9280</v>
      </c>
      <c r="Q11" s="52">
        <v>0</v>
      </c>
      <c r="R11" s="50">
        <f t="shared" si="7"/>
        <v>0</v>
      </c>
      <c r="S11" s="43">
        <v>0</v>
      </c>
      <c r="T11" s="43">
        <v>0</v>
      </c>
      <c r="U11" s="52">
        <v>0</v>
      </c>
      <c r="V11" s="50">
        <f t="shared" si="8"/>
        <v>0</v>
      </c>
      <c r="W11" s="13" t="s">
        <v>58</v>
      </c>
      <c r="X11" s="13" t="s">
        <v>67</v>
      </c>
      <c r="Y11" s="35">
        <f t="shared" si="15"/>
        <v>0.42105862068965516</v>
      </c>
      <c r="Z11" s="36">
        <f t="shared" si="16"/>
        <v>0.63865080330186019</v>
      </c>
      <c r="AA11" s="48"/>
    </row>
    <row r="12" spans="1:27" ht="15" customHeight="1" x14ac:dyDescent="0.2">
      <c r="A12" s="20" t="s">
        <v>10</v>
      </c>
      <c r="B12" s="4">
        <v>136</v>
      </c>
      <c r="C12" s="4">
        <v>-246.21</v>
      </c>
      <c r="D12" s="4">
        <v>140</v>
      </c>
      <c r="E12" s="4">
        <v>59.64</v>
      </c>
      <c r="F12" s="5">
        <f t="shared" si="10"/>
        <v>0.42599999999999999</v>
      </c>
      <c r="G12" s="3">
        <f t="shared" si="11"/>
        <v>-0.24223224077007433</v>
      </c>
      <c r="H12" s="6">
        <v>140</v>
      </c>
      <c r="I12" s="43">
        <v>70.97</v>
      </c>
      <c r="J12" s="11">
        <f t="shared" si="5"/>
        <v>-69.03</v>
      </c>
      <c r="K12" s="6">
        <v>140</v>
      </c>
      <c r="L12" s="52">
        <v>70.97</v>
      </c>
      <c r="M12" s="51">
        <f t="shared" si="6"/>
        <v>0</v>
      </c>
      <c r="N12" s="39">
        <v>70.97</v>
      </c>
      <c r="O12" s="11">
        <f t="shared" si="1"/>
        <v>-69.03</v>
      </c>
      <c r="P12" s="6">
        <v>140</v>
      </c>
      <c r="Q12" s="53">
        <v>70.97</v>
      </c>
      <c r="R12" s="51">
        <f t="shared" si="7"/>
        <v>0</v>
      </c>
      <c r="S12" s="39">
        <v>70.97</v>
      </c>
      <c r="T12" s="39">
        <v>70.97</v>
      </c>
      <c r="U12" s="53">
        <v>70.97</v>
      </c>
      <c r="V12" s="51">
        <f t="shared" si="8"/>
        <v>0</v>
      </c>
      <c r="W12" s="13" t="s">
        <v>70</v>
      </c>
      <c r="X12" s="13" t="s">
        <v>69</v>
      </c>
      <c r="Y12" s="35">
        <f t="shared" si="15"/>
        <v>0.5069285714285714</v>
      </c>
      <c r="Z12" s="36">
        <f t="shared" si="16"/>
        <v>1.1899731723675386</v>
      </c>
      <c r="AA12" s="48"/>
    </row>
    <row r="13" spans="1:27" ht="26.25" customHeight="1" x14ac:dyDescent="0.2">
      <c r="A13" s="20" t="s">
        <v>11</v>
      </c>
      <c r="B13" s="4">
        <v>360.3</v>
      </c>
      <c r="C13" s="4">
        <v>403.75</v>
      </c>
      <c r="D13" s="4">
        <v>360.2</v>
      </c>
      <c r="E13" s="4">
        <v>609.35</v>
      </c>
      <c r="F13" s="5">
        <f t="shared" si="10"/>
        <v>1.6916990560799556</v>
      </c>
      <c r="G13" s="3">
        <f t="shared" si="11"/>
        <v>1.5092260061919505</v>
      </c>
      <c r="H13" s="6">
        <v>360.2</v>
      </c>
      <c r="I13" s="39">
        <v>486.6</v>
      </c>
      <c r="J13" s="11">
        <f t="shared" si="5"/>
        <v>126.40000000000003</v>
      </c>
      <c r="K13" s="6">
        <v>360.2</v>
      </c>
      <c r="L13" s="53">
        <v>486.6</v>
      </c>
      <c r="M13" s="51">
        <f t="shared" si="6"/>
        <v>0</v>
      </c>
      <c r="N13" s="39">
        <v>486.6</v>
      </c>
      <c r="O13" s="11">
        <f t="shared" si="1"/>
        <v>126.40000000000003</v>
      </c>
      <c r="P13" s="6">
        <v>360.2</v>
      </c>
      <c r="Q13" s="53">
        <v>486.6</v>
      </c>
      <c r="R13" s="51">
        <f t="shared" si="7"/>
        <v>0</v>
      </c>
      <c r="S13" s="39">
        <v>486.6</v>
      </c>
      <c r="T13" s="39">
        <v>486.6</v>
      </c>
      <c r="U13" s="53">
        <v>486.6</v>
      </c>
      <c r="V13" s="51">
        <f t="shared" si="8"/>
        <v>0</v>
      </c>
      <c r="W13" s="13" t="s">
        <v>59</v>
      </c>
      <c r="X13" s="13" t="s">
        <v>60</v>
      </c>
      <c r="Y13" s="35">
        <f t="shared" si="15"/>
        <v>1.3509161576901723</v>
      </c>
      <c r="Z13" s="36">
        <f t="shared" si="16"/>
        <v>0.79855583818823339</v>
      </c>
      <c r="AA13" s="48"/>
    </row>
    <row r="14" spans="1:27" ht="17.100000000000001" customHeight="1" x14ac:dyDescent="0.2">
      <c r="A14" s="20" t="s">
        <v>12</v>
      </c>
      <c r="B14" s="4">
        <v>1500</v>
      </c>
      <c r="C14" s="4">
        <v>1298.72</v>
      </c>
      <c r="D14" s="4">
        <v>1500</v>
      </c>
      <c r="E14" s="4">
        <v>1156.58</v>
      </c>
      <c r="F14" s="5">
        <f t="shared" si="10"/>
        <v>0.77105333333333326</v>
      </c>
      <c r="G14" s="3">
        <f t="shared" si="11"/>
        <v>0.89055377602562513</v>
      </c>
      <c r="H14" s="6">
        <v>1500</v>
      </c>
      <c r="I14" s="39">
        <v>1347.43</v>
      </c>
      <c r="J14" s="11">
        <f t="shared" si="5"/>
        <v>-152.56999999999994</v>
      </c>
      <c r="K14" s="6">
        <v>1500</v>
      </c>
      <c r="L14" s="53">
        <v>1347.43</v>
      </c>
      <c r="M14" s="51">
        <f t="shared" si="6"/>
        <v>0</v>
      </c>
      <c r="N14" s="39">
        <v>1347.43</v>
      </c>
      <c r="O14" s="11">
        <f t="shared" si="1"/>
        <v>-152.56999999999994</v>
      </c>
      <c r="P14" s="6">
        <v>1500</v>
      </c>
      <c r="Q14" s="53">
        <v>1347.43</v>
      </c>
      <c r="R14" s="51">
        <f t="shared" si="7"/>
        <v>0</v>
      </c>
      <c r="S14" s="39">
        <v>1347.43</v>
      </c>
      <c r="T14" s="39">
        <v>1347.43</v>
      </c>
      <c r="U14" s="53">
        <v>1347.43</v>
      </c>
      <c r="V14" s="51">
        <f t="shared" si="8"/>
        <v>0</v>
      </c>
      <c r="W14" s="13" t="s">
        <v>61</v>
      </c>
      <c r="X14" s="12"/>
      <c r="Y14" s="35">
        <f t="shared" si="15"/>
        <v>0.89828666666666668</v>
      </c>
      <c r="Z14" s="36">
        <f t="shared" si="16"/>
        <v>1.1650123640388041</v>
      </c>
      <c r="AA14" s="48"/>
    </row>
    <row r="15" spans="1:27" ht="30" customHeight="1" x14ac:dyDescent="0.2">
      <c r="A15" s="20" t="s">
        <v>13</v>
      </c>
      <c r="B15" s="4">
        <v>6.7</v>
      </c>
      <c r="C15" s="4">
        <v>6.8</v>
      </c>
      <c r="D15" s="4">
        <v>6.8</v>
      </c>
      <c r="E15" s="4">
        <v>3.62</v>
      </c>
      <c r="F15" s="5">
        <f t="shared" si="10"/>
        <v>0.53235294117647058</v>
      </c>
      <c r="G15" s="3">
        <f t="shared" si="11"/>
        <v>0.53235294117647058</v>
      </c>
      <c r="H15" s="24">
        <v>6.8</v>
      </c>
      <c r="I15" s="43">
        <v>5.7</v>
      </c>
      <c r="J15" s="11">
        <f t="shared" si="5"/>
        <v>-1.0999999999999996</v>
      </c>
      <c r="K15" s="24">
        <v>6.8</v>
      </c>
      <c r="L15" s="52">
        <v>5.7</v>
      </c>
      <c r="M15" s="50">
        <f t="shared" si="6"/>
        <v>0</v>
      </c>
      <c r="N15" s="43">
        <v>5.7</v>
      </c>
      <c r="O15" s="11">
        <f t="shared" si="1"/>
        <v>-1.0999999999999996</v>
      </c>
      <c r="P15" s="24">
        <v>6.8</v>
      </c>
      <c r="Q15" s="52">
        <v>5.7</v>
      </c>
      <c r="R15" s="50">
        <f t="shared" si="7"/>
        <v>0</v>
      </c>
      <c r="S15" s="43">
        <v>5.7</v>
      </c>
      <c r="T15" s="43">
        <v>5.7</v>
      </c>
      <c r="U15" s="52">
        <v>5.7</v>
      </c>
      <c r="V15" s="50">
        <f t="shared" si="8"/>
        <v>0</v>
      </c>
      <c r="W15" s="13" t="s">
        <v>63</v>
      </c>
      <c r="X15" s="12"/>
      <c r="Y15" s="35">
        <f t="shared" si="15"/>
        <v>0.83823529411764708</v>
      </c>
      <c r="Z15" s="36">
        <f t="shared" si="16"/>
        <v>1.5745856353591161</v>
      </c>
      <c r="AA15" s="48"/>
    </row>
    <row r="16" spans="1:27" ht="30" customHeight="1" x14ac:dyDescent="0.2">
      <c r="A16" s="20" t="s">
        <v>14</v>
      </c>
      <c r="B16" s="4">
        <f>B17+B18+B19+B20+B21</f>
        <v>17366</v>
      </c>
      <c r="C16" s="4">
        <f>C17+C18+C19+C20+C21</f>
        <v>18670.63</v>
      </c>
      <c r="D16" s="4">
        <f>D17+D18+D19+D20+D21</f>
        <v>19388.8</v>
      </c>
      <c r="E16" s="4">
        <f>E17+E18+E19+E20+E21</f>
        <v>21175.819999999996</v>
      </c>
      <c r="F16" s="5">
        <f t="shared" si="10"/>
        <v>1.0921676431754412</v>
      </c>
      <c r="G16" s="3">
        <f t="shared" si="11"/>
        <v>1.1341781182531063</v>
      </c>
      <c r="H16" s="6">
        <f>H17+H18+H19+H20+H21</f>
        <v>19540.5</v>
      </c>
      <c r="I16" s="39">
        <f>I17+I18+I19+I20+I21</f>
        <v>22063.3</v>
      </c>
      <c r="J16" s="11">
        <f t="shared" si="5"/>
        <v>2522.7999999999993</v>
      </c>
      <c r="K16" s="6">
        <f>K17+K18+K19+K20+K21</f>
        <v>19597.54</v>
      </c>
      <c r="L16" s="53">
        <f>L17+L18+L19+L20+L21</f>
        <v>19466.8</v>
      </c>
      <c r="M16" s="51">
        <f t="shared" si="6"/>
        <v>-2596.5</v>
      </c>
      <c r="N16" s="39">
        <f>N17+N18+N19+N20+N21</f>
        <v>19220.34</v>
      </c>
      <c r="O16" s="11">
        <f t="shared" si="1"/>
        <v>-377.20000000000073</v>
      </c>
      <c r="P16" s="6">
        <f t="shared" ref="P16:S16" si="17">P17+P18+P19+P20+P21</f>
        <v>19660.3</v>
      </c>
      <c r="Q16" s="53">
        <f>Q17+Q18+Q19+Q20+Q21</f>
        <v>19220.34</v>
      </c>
      <c r="R16" s="51">
        <f t="shared" si="7"/>
        <v>0</v>
      </c>
      <c r="S16" s="39">
        <f t="shared" si="17"/>
        <v>19283.099999999999</v>
      </c>
      <c r="T16" s="39">
        <f t="shared" ref="T16:U16" si="18">T17+T18+T19+T20+T21</f>
        <v>19283.099999999999</v>
      </c>
      <c r="U16" s="53">
        <f t="shared" si="18"/>
        <v>19283.099999999999</v>
      </c>
      <c r="V16" s="51">
        <f t="shared" si="8"/>
        <v>0</v>
      </c>
      <c r="X16" s="12"/>
      <c r="Y16" s="35">
        <f t="shared" si="15"/>
        <v>1.1379404604720251</v>
      </c>
      <c r="Z16" s="36">
        <f t="shared" si="16"/>
        <v>1.0419100653481188</v>
      </c>
      <c r="AA16" s="48"/>
    </row>
    <row r="17" spans="1:27" ht="26.25" customHeight="1" x14ac:dyDescent="0.2">
      <c r="A17" s="20" t="s">
        <v>15</v>
      </c>
      <c r="B17" s="4">
        <v>66</v>
      </c>
      <c r="C17" s="4">
        <v>134.04</v>
      </c>
      <c r="D17" s="4">
        <v>611.4</v>
      </c>
      <c r="E17" s="4">
        <v>103.46</v>
      </c>
      <c r="F17" s="5">
        <f t="shared" si="10"/>
        <v>0.16921818776578346</v>
      </c>
      <c r="G17" s="3">
        <f t="shared" si="11"/>
        <v>0.7718591465234258</v>
      </c>
      <c r="H17" s="24">
        <v>70</v>
      </c>
      <c r="I17" s="39">
        <v>100.8</v>
      </c>
      <c r="J17" s="11">
        <f t="shared" si="5"/>
        <v>30.799999999999997</v>
      </c>
      <c r="K17" s="24">
        <v>70</v>
      </c>
      <c r="L17" s="53">
        <v>100.8</v>
      </c>
      <c r="M17" s="51">
        <f t="shared" si="6"/>
        <v>0</v>
      </c>
      <c r="N17" s="39">
        <v>100.8</v>
      </c>
      <c r="O17" s="11">
        <f t="shared" si="1"/>
        <v>30.799999999999997</v>
      </c>
      <c r="P17" s="24">
        <v>70</v>
      </c>
      <c r="Q17" s="53">
        <v>100.8</v>
      </c>
      <c r="R17" s="51">
        <f t="shared" si="7"/>
        <v>0</v>
      </c>
      <c r="S17" s="39">
        <v>100.8</v>
      </c>
      <c r="T17" s="39">
        <v>100.8</v>
      </c>
      <c r="U17" s="53">
        <v>100.8</v>
      </c>
      <c r="V17" s="51">
        <f t="shared" si="8"/>
        <v>0</v>
      </c>
      <c r="W17" s="13" t="s">
        <v>65</v>
      </c>
      <c r="X17" s="13" t="s">
        <v>66</v>
      </c>
      <c r="Y17" s="35">
        <f t="shared" si="15"/>
        <v>0.16486751717369971</v>
      </c>
      <c r="Z17" s="36">
        <f t="shared" si="16"/>
        <v>0.97428958051420844</v>
      </c>
      <c r="AA17" s="48"/>
    </row>
    <row r="18" spans="1:27" ht="52.5" customHeight="1" x14ac:dyDescent="0.2">
      <c r="A18" s="20" t="s">
        <v>16</v>
      </c>
      <c r="B18" s="4">
        <v>13900</v>
      </c>
      <c r="C18" s="4">
        <v>15270.95</v>
      </c>
      <c r="D18" s="4">
        <v>13377.4</v>
      </c>
      <c r="E18" s="4">
        <v>17468.099999999999</v>
      </c>
      <c r="F18" s="5">
        <f t="shared" si="10"/>
        <v>1.3057918579096086</v>
      </c>
      <c r="G18" s="3">
        <f t="shared" si="11"/>
        <v>1.143877754822064</v>
      </c>
      <c r="H18" s="24">
        <v>16000</v>
      </c>
      <c r="I18" s="43">
        <f>16000+2870</f>
        <v>18870</v>
      </c>
      <c r="J18" s="11">
        <f t="shared" si="5"/>
        <v>2870</v>
      </c>
      <c r="K18" s="24">
        <v>16000</v>
      </c>
      <c r="L18" s="52">
        <v>16338</v>
      </c>
      <c r="M18" s="50">
        <f t="shared" si="6"/>
        <v>-2532</v>
      </c>
      <c r="N18" s="43">
        <v>16000</v>
      </c>
      <c r="O18" s="11">
        <f t="shared" si="1"/>
        <v>0</v>
      </c>
      <c r="P18" s="24">
        <v>16000</v>
      </c>
      <c r="Q18" s="52">
        <v>16000</v>
      </c>
      <c r="R18" s="50">
        <f t="shared" si="7"/>
        <v>0</v>
      </c>
      <c r="S18" s="43">
        <v>16000</v>
      </c>
      <c r="T18" s="43">
        <v>16000</v>
      </c>
      <c r="U18" s="52">
        <v>16000</v>
      </c>
      <c r="V18" s="50">
        <f t="shared" si="8"/>
        <v>0</v>
      </c>
      <c r="W18" s="13" t="s">
        <v>80</v>
      </c>
      <c r="X18" s="13"/>
      <c r="Y18" s="35">
        <f t="shared" si="15"/>
        <v>1.4105880066380612</v>
      </c>
      <c r="Z18" s="36">
        <f t="shared" si="16"/>
        <v>1.0802548645817234</v>
      </c>
      <c r="AA18" s="48"/>
    </row>
    <row r="19" spans="1:27" ht="62.25" customHeight="1" x14ac:dyDescent="0.2">
      <c r="A19" s="20" t="s">
        <v>17</v>
      </c>
      <c r="B19" s="4">
        <v>800</v>
      </c>
      <c r="C19" s="4">
        <v>401.58</v>
      </c>
      <c r="D19" s="4">
        <v>1800</v>
      </c>
      <c r="E19" s="4">
        <v>599.66</v>
      </c>
      <c r="F19" s="5">
        <f t="shared" si="10"/>
        <v>0.33314444444444441</v>
      </c>
      <c r="G19" s="3">
        <f t="shared" si="11"/>
        <v>1.4932516559589621</v>
      </c>
      <c r="H19" s="24">
        <v>570.5</v>
      </c>
      <c r="I19" s="43">
        <f>570.5+30</f>
        <v>600.5</v>
      </c>
      <c r="J19" s="11">
        <f t="shared" si="5"/>
        <v>30</v>
      </c>
      <c r="K19" s="24">
        <v>627.54</v>
      </c>
      <c r="L19" s="52">
        <v>536</v>
      </c>
      <c r="M19" s="50">
        <f t="shared" si="6"/>
        <v>-64.5</v>
      </c>
      <c r="N19" s="43">
        <v>627.54</v>
      </c>
      <c r="O19" s="11">
        <f t="shared" si="1"/>
        <v>0</v>
      </c>
      <c r="P19" s="24">
        <v>690.3</v>
      </c>
      <c r="Q19" s="52">
        <v>627.54</v>
      </c>
      <c r="R19" s="50">
        <f t="shared" si="7"/>
        <v>0</v>
      </c>
      <c r="S19" s="43">
        <v>690.3</v>
      </c>
      <c r="T19" s="43">
        <v>690.3</v>
      </c>
      <c r="U19" s="52">
        <v>690.3</v>
      </c>
      <c r="V19" s="50">
        <f t="shared" si="8"/>
        <v>0</v>
      </c>
      <c r="W19" s="13" t="s">
        <v>81</v>
      </c>
      <c r="X19" s="13"/>
      <c r="Y19" s="35">
        <f t="shared" si="15"/>
        <v>0.33361111111111114</v>
      </c>
      <c r="Z19" s="36">
        <f t="shared" si="16"/>
        <v>1.0014007937831437</v>
      </c>
      <c r="AA19" s="48"/>
    </row>
    <row r="20" spans="1:27" ht="36.75" customHeight="1" x14ac:dyDescent="0.2">
      <c r="A20" s="20" t="s">
        <v>18</v>
      </c>
      <c r="B20" s="4">
        <v>0</v>
      </c>
      <c r="C20" s="4">
        <v>0</v>
      </c>
      <c r="D20" s="4">
        <v>0</v>
      </c>
      <c r="E20" s="4">
        <v>0</v>
      </c>
      <c r="F20" s="5">
        <v>0</v>
      </c>
      <c r="G20" s="3" t="e">
        <f t="shared" si="11"/>
        <v>#DIV/0!</v>
      </c>
      <c r="H20" s="6">
        <v>0</v>
      </c>
      <c r="I20" s="39">
        <v>0</v>
      </c>
      <c r="J20" s="11">
        <f t="shared" si="5"/>
        <v>0</v>
      </c>
      <c r="K20" s="6">
        <v>0</v>
      </c>
      <c r="L20" s="53">
        <v>0</v>
      </c>
      <c r="M20" s="51">
        <f t="shared" si="6"/>
        <v>0</v>
      </c>
      <c r="N20" s="39">
        <v>0</v>
      </c>
      <c r="O20" s="11">
        <f t="shared" si="1"/>
        <v>0</v>
      </c>
      <c r="P20" s="6">
        <v>0</v>
      </c>
      <c r="Q20" s="53">
        <v>0</v>
      </c>
      <c r="R20" s="51">
        <f t="shared" si="7"/>
        <v>0</v>
      </c>
      <c r="S20" s="39">
        <v>0</v>
      </c>
      <c r="T20" s="39">
        <v>0</v>
      </c>
      <c r="U20" s="53">
        <v>0</v>
      </c>
      <c r="V20" s="51">
        <f t="shared" si="8"/>
        <v>0</v>
      </c>
      <c r="X20" s="12"/>
      <c r="Y20" s="35" t="e">
        <f t="shared" si="15"/>
        <v>#DIV/0!</v>
      </c>
      <c r="Z20" s="36" t="e">
        <f t="shared" si="16"/>
        <v>#DIV/0!</v>
      </c>
      <c r="AA20" s="48"/>
    </row>
    <row r="21" spans="1:27" ht="64.5" customHeight="1" x14ac:dyDescent="0.2">
      <c r="A21" s="20" t="s">
        <v>19</v>
      </c>
      <c r="B21" s="4">
        <v>2600</v>
      </c>
      <c r="C21" s="4">
        <v>2864.06</v>
      </c>
      <c r="D21" s="4">
        <v>3600</v>
      </c>
      <c r="E21" s="4">
        <v>3004.6</v>
      </c>
      <c r="F21" s="5">
        <f t="shared" si="10"/>
        <v>0.83461111111111108</v>
      </c>
      <c r="G21" s="3">
        <f t="shared" si="11"/>
        <v>1.0490702010432742</v>
      </c>
      <c r="H21" s="24">
        <v>2900</v>
      </c>
      <c r="I21" s="43">
        <v>2492</v>
      </c>
      <c r="J21" s="11">
        <f t="shared" si="5"/>
        <v>-408</v>
      </c>
      <c r="K21" s="24">
        <v>2900</v>
      </c>
      <c r="L21" s="52">
        <v>2492</v>
      </c>
      <c r="M21" s="50">
        <f t="shared" si="6"/>
        <v>0</v>
      </c>
      <c r="N21" s="43">
        <v>2492</v>
      </c>
      <c r="O21" s="11">
        <f t="shared" si="1"/>
        <v>-408</v>
      </c>
      <c r="P21" s="24">
        <v>2900</v>
      </c>
      <c r="Q21" s="52">
        <v>2492</v>
      </c>
      <c r="R21" s="50">
        <f t="shared" si="7"/>
        <v>0</v>
      </c>
      <c r="S21" s="43">
        <v>2492</v>
      </c>
      <c r="T21" s="43">
        <v>2492</v>
      </c>
      <c r="U21" s="52">
        <v>2492</v>
      </c>
      <c r="V21" s="50">
        <f t="shared" si="8"/>
        <v>0</v>
      </c>
      <c r="W21" s="13" t="s">
        <v>62</v>
      </c>
      <c r="X21" s="32"/>
      <c r="Y21" s="35">
        <f t="shared" si="15"/>
        <v>0.69222222222222218</v>
      </c>
      <c r="Z21" s="36">
        <f t="shared" si="16"/>
        <v>0.82939492777740798</v>
      </c>
      <c r="AA21" s="48"/>
    </row>
    <row r="22" spans="1:27" ht="30" customHeight="1" x14ac:dyDescent="0.2">
      <c r="A22" s="20" t="s">
        <v>20</v>
      </c>
      <c r="B22" s="4">
        <v>4400</v>
      </c>
      <c r="C22" s="4">
        <v>4178.4399999999996</v>
      </c>
      <c r="D22" s="4">
        <v>1200</v>
      </c>
      <c r="E22" s="4">
        <v>1242</v>
      </c>
      <c r="F22" s="5">
        <f t="shared" si="10"/>
        <v>1.0349999999999999</v>
      </c>
      <c r="G22" s="3">
        <f t="shared" si="11"/>
        <v>0.2972401183216703</v>
      </c>
      <c r="H22" s="24">
        <v>1200</v>
      </c>
      <c r="I22" s="43">
        <v>7982.4</v>
      </c>
      <c r="J22" s="11">
        <f t="shared" si="5"/>
        <v>6782.4</v>
      </c>
      <c r="K22" s="24">
        <v>1200</v>
      </c>
      <c r="L22" s="52">
        <v>7982.4</v>
      </c>
      <c r="M22" s="50">
        <f t="shared" si="6"/>
        <v>0</v>
      </c>
      <c r="N22" s="43">
        <v>8301.7000000000007</v>
      </c>
      <c r="O22" s="11">
        <f t="shared" si="1"/>
        <v>7101.7000000000007</v>
      </c>
      <c r="P22" s="24">
        <v>8301.7000000000007</v>
      </c>
      <c r="Q22" s="52">
        <v>8301.7000000000007</v>
      </c>
      <c r="R22" s="50">
        <f t="shared" si="7"/>
        <v>0</v>
      </c>
      <c r="S22" s="43">
        <v>3072.38</v>
      </c>
      <c r="T22" s="43">
        <v>3072.38</v>
      </c>
      <c r="U22" s="52">
        <v>8301.7000000000007</v>
      </c>
      <c r="V22" s="50">
        <f t="shared" si="8"/>
        <v>5229.3200000000006</v>
      </c>
      <c r="W22" s="13" t="s">
        <v>79</v>
      </c>
      <c r="X22" s="13"/>
      <c r="Y22" s="35">
        <f t="shared" si="15"/>
        <v>6.6520000000000001</v>
      </c>
      <c r="Z22" s="36">
        <f t="shared" si="16"/>
        <v>6.4270531400966178</v>
      </c>
      <c r="AA22" s="48"/>
    </row>
    <row r="23" spans="1:27" ht="30" customHeight="1" x14ac:dyDescent="0.2">
      <c r="A23" s="20" t="s">
        <v>21</v>
      </c>
      <c r="B23" s="4">
        <v>25000</v>
      </c>
      <c r="C23" s="4">
        <v>27223</v>
      </c>
      <c r="D23" s="4">
        <v>25000</v>
      </c>
      <c r="E23" s="4">
        <v>23151.77</v>
      </c>
      <c r="F23" s="5">
        <f t="shared" si="10"/>
        <v>0.92607079999999997</v>
      </c>
      <c r="G23" s="3">
        <f t="shared" si="11"/>
        <v>0.85044888513389416</v>
      </c>
      <c r="H23" s="6">
        <v>25000</v>
      </c>
      <c r="I23" s="39">
        <v>25000</v>
      </c>
      <c r="J23" s="11">
        <f t="shared" si="5"/>
        <v>0</v>
      </c>
      <c r="K23" s="6">
        <v>25000</v>
      </c>
      <c r="L23" s="53">
        <v>15709.893</v>
      </c>
      <c r="M23" s="51">
        <f t="shared" si="6"/>
        <v>-9290.107</v>
      </c>
      <c r="N23" s="39">
        <v>25000</v>
      </c>
      <c r="O23" s="11">
        <f t="shared" si="1"/>
        <v>0</v>
      </c>
      <c r="P23" s="6">
        <v>25000</v>
      </c>
      <c r="Q23" s="53">
        <v>25000</v>
      </c>
      <c r="R23" s="51">
        <f t="shared" si="7"/>
        <v>0</v>
      </c>
      <c r="S23" s="39">
        <v>25000</v>
      </c>
      <c r="T23" s="39">
        <v>25000</v>
      </c>
      <c r="U23" s="53">
        <v>25000</v>
      </c>
      <c r="V23" s="51">
        <f t="shared" si="8"/>
        <v>0</v>
      </c>
      <c r="W23" s="12" t="s">
        <v>39</v>
      </c>
      <c r="X23" s="13" t="s">
        <v>68</v>
      </c>
      <c r="Y23" s="35">
        <f t="shared" si="15"/>
        <v>1</v>
      </c>
      <c r="Z23" s="36">
        <f t="shared" si="16"/>
        <v>1.0798310453153257</v>
      </c>
    </row>
    <row r="24" spans="1:27" ht="30" customHeight="1" x14ac:dyDescent="0.2">
      <c r="A24" s="20" t="s">
        <v>22</v>
      </c>
      <c r="B24" s="4">
        <f>B25+B26</f>
        <v>3857</v>
      </c>
      <c r="C24" s="4">
        <f t="shared" ref="C24:E24" si="19">C25+C26</f>
        <v>4266.6499999999996</v>
      </c>
      <c r="D24" s="4">
        <f t="shared" si="19"/>
        <v>5357</v>
      </c>
      <c r="E24" s="4">
        <f t="shared" si="19"/>
        <v>5097.18</v>
      </c>
      <c r="F24" s="5">
        <f t="shared" si="10"/>
        <v>0.9514989733059549</v>
      </c>
      <c r="G24" s="3">
        <f t="shared" si="11"/>
        <v>1.1946562291258951</v>
      </c>
      <c r="H24" s="6">
        <f t="shared" ref="H24:S24" si="20">H25+H26</f>
        <v>5392.33</v>
      </c>
      <c r="I24" s="39">
        <f t="shared" si="20"/>
        <v>5392.33</v>
      </c>
      <c r="J24" s="11">
        <f t="shared" si="5"/>
        <v>0</v>
      </c>
      <c r="K24" s="6">
        <f t="shared" ref="K24" si="21">K25+K26</f>
        <v>5431.56</v>
      </c>
      <c r="L24" s="53">
        <f>L25+L26</f>
        <v>4142.33</v>
      </c>
      <c r="M24" s="51">
        <f t="shared" si="6"/>
        <v>-1250</v>
      </c>
      <c r="N24" s="39">
        <f t="shared" si="20"/>
        <v>5431.56</v>
      </c>
      <c r="O24" s="11">
        <f t="shared" si="1"/>
        <v>0</v>
      </c>
      <c r="P24" s="6">
        <f t="shared" si="20"/>
        <v>5474.72</v>
      </c>
      <c r="Q24" s="53">
        <f t="shared" ref="Q24" si="22">Q25+Q26</f>
        <v>5431.56</v>
      </c>
      <c r="R24" s="51">
        <f t="shared" si="7"/>
        <v>0</v>
      </c>
      <c r="S24" s="39">
        <f t="shared" si="20"/>
        <v>5474.72</v>
      </c>
      <c r="T24" s="39">
        <f t="shared" ref="T24:U24" si="23">T25+T26</f>
        <v>5474.72</v>
      </c>
      <c r="U24" s="53">
        <f t="shared" si="23"/>
        <v>5474.72</v>
      </c>
      <c r="V24" s="51">
        <f t="shared" si="8"/>
        <v>0</v>
      </c>
      <c r="W24" s="23"/>
      <c r="X24" s="23"/>
      <c r="Y24" s="35">
        <f t="shared" si="15"/>
        <v>1.0065951092029122</v>
      </c>
      <c r="Z24" s="36">
        <f t="shared" si="16"/>
        <v>1.0579045668389186</v>
      </c>
    </row>
    <row r="25" spans="1:27" ht="63" customHeight="1" x14ac:dyDescent="0.2">
      <c r="A25" s="20" t="s">
        <v>23</v>
      </c>
      <c r="B25" s="4">
        <v>357</v>
      </c>
      <c r="C25" s="4">
        <v>618.19000000000005</v>
      </c>
      <c r="D25" s="4">
        <v>357</v>
      </c>
      <c r="E25" s="4">
        <v>1845.57</v>
      </c>
      <c r="F25" s="5">
        <f t="shared" si="10"/>
        <v>5.1696638655462186</v>
      </c>
      <c r="G25" s="3">
        <f t="shared" si="11"/>
        <v>2.985441369158349</v>
      </c>
      <c r="H25" s="24">
        <v>392.33</v>
      </c>
      <c r="I25" s="43">
        <v>392.33</v>
      </c>
      <c r="J25" s="11">
        <f t="shared" si="5"/>
        <v>0</v>
      </c>
      <c r="K25" s="24">
        <v>431.56</v>
      </c>
      <c r="L25" s="52">
        <v>392.33</v>
      </c>
      <c r="M25" s="50">
        <f t="shared" si="6"/>
        <v>0</v>
      </c>
      <c r="N25" s="43">
        <v>431.56</v>
      </c>
      <c r="O25" s="11">
        <f t="shared" si="1"/>
        <v>0</v>
      </c>
      <c r="P25" s="24">
        <v>474.72</v>
      </c>
      <c r="Q25" s="52">
        <v>431.56</v>
      </c>
      <c r="R25" s="50">
        <f t="shared" si="7"/>
        <v>0</v>
      </c>
      <c r="S25" s="43">
        <v>474.72</v>
      </c>
      <c r="T25" s="43">
        <v>474.72</v>
      </c>
      <c r="U25" s="52">
        <v>474.72</v>
      </c>
      <c r="V25" s="50">
        <f t="shared" si="8"/>
        <v>0</v>
      </c>
      <c r="W25" s="13" t="s">
        <v>41</v>
      </c>
      <c r="X25" s="13"/>
      <c r="Y25" s="35">
        <f t="shared" si="15"/>
        <v>1.0989635854341737</v>
      </c>
      <c r="Z25" s="36">
        <f t="shared" si="16"/>
        <v>0.21257931154060805</v>
      </c>
    </row>
    <row r="26" spans="1:27" ht="25.5" customHeight="1" x14ac:dyDescent="0.2">
      <c r="A26" s="20" t="s">
        <v>24</v>
      </c>
      <c r="B26" s="4">
        <v>3500</v>
      </c>
      <c r="C26" s="4">
        <v>3648.46</v>
      </c>
      <c r="D26" s="4">
        <v>5000</v>
      </c>
      <c r="E26" s="4">
        <v>3251.61</v>
      </c>
      <c r="F26" s="5">
        <f t="shared" si="10"/>
        <v>0.65032200000000007</v>
      </c>
      <c r="G26" s="3">
        <f t="shared" si="11"/>
        <v>0.89122807979257002</v>
      </c>
      <c r="H26" s="24">
        <v>5000</v>
      </c>
      <c r="I26" s="43">
        <v>5000</v>
      </c>
      <c r="J26" s="11">
        <f t="shared" si="5"/>
        <v>0</v>
      </c>
      <c r="K26" s="24">
        <v>5000</v>
      </c>
      <c r="L26" s="52">
        <v>3750</v>
      </c>
      <c r="M26" s="50">
        <f t="shared" si="6"/>
        <v>-1250</v>
      </c>
      <c r="N26" s="43">
        <v>5000</v>
      </c>
      <c r="O26" s="11">
        <f t="shared" si="1"/>
        <v>0</v>
      </c>
      <c r="P26" s="24">
        <v>5000</v>
      </c>
      <c r="Q26" s="52">
        <v>5000</v>
      </c>
      <c r="R26" s="50">
        <f t="shared" si="7"/>
        <v>0</v>
      </c>
      <c r="S26" s="43">
        <v>5000</v>
      </c>
      <c r="T26" s="43">
        <v>5000</v>
      </c>
      <c r="U26" s="52">
        <v>5000</v>
      </c>
      <c r="V26" s="50">
        <f t="shared" si="8"/>
        <v>0</v>
      </c>
      <c r="W26" s="13" t="s">
        <v>40</v>
      </c>
      <c r="X26" s="13"/>
      <c r="Y26" s="35">
        <f t="shared" si="15"/>
        <v>1</v>
      </c>
      <c r="Z26" s="36">
        <f t="shared" si="16"/>
        <v>1.5376997856446499</v>
      </c>
    </row>
    <row r="27" spans="1:27" ht="17.100000000000001" customHeight="1" x14ac:dyDescent="0.2">
      <c r="A27" s="20" t="s">
        <v>25</v>
      </c>
      <c r="B27" s="4">
        <v>4000</v>
      </c>
      <c r="C27" s="4">
        <v>2167.96</v>
      </c>
      <c r="D27" s="4">
        <v>2000</v>
      </c>
      <c r="E27" s="4">
        <v>1728.14</v>
      </c>
      <c r="F27" s="5">
        <f t="shared" si="10"/>
        <v>0.86407</v>
      </c>
      <c r="G27" s="3">
        <f t="shared" si="11"/>
        <v>0.79712725327035561</v>
      </c>
      <c r="H27" s="24">
        <v>1500</v>
      </c>
      <c r="I27" s="43">
        <v>2552.06</v>
      </c>
      <c r="J27" s="11">
        <f t="shared" si="5"/>
        <v>1052.06</v>
      </c>
      <c r="K27" s="24">
        <v>1500</v>
      </c>
      <c r="L27" s="52">
        <v>2552.06</v>
      </c>
      <c r="M27" s="50">
        <f t="shared" si="6"/>
        <v>0</v>
      </c>
      <c r="N27" s="43">
        <v>2552.06</v>
      </c>
      <c r="O27" s="11">
        <f t="shared" si="1"/>
        <v>1052.06</v>
      </c>
      <c r="P27" s="24">
        <v>1500</v>
      </c>
      <c r="Q27" s="52">
        <v>2552.06</v>
      </c>
      <c r="R27" s="50">
        <f t="shared" si="7"/>
        <v>0</v>
      </c>
      <c r="S27" s="43">
        <v>2552.06</v>
      </c>
      <c r="T27" s="43">
        <v>2552.06</v>
      </c>
      <c r="U27" s="52">
        <v>2552.06</v>
      </c>
      <c r="V27" s="50">
        <f t="shared" si="8"/>
        <v>0</v>
      </c>
      <c r="W27" s="13" t="s">
        <v>57</v>
      </c>
      <c r="X27" s="13"/>
      <c r="Y27" s="35">
        <f t="shared" si="15"/>
        <v>1.27603</v>
      </c>
      <c r="Z27" s="36">
        <f t="shared" si="16"/>
        <v>1.4767669286053211</v>
      </c>
    </row>
    <row r="28" spans="1:27" ht="17.100000000000001" customHeight="1" x14ac:dyDescent="0.2">
      <c r="A28" s="20" t="s">
        <v>26</v>
      </c>
      <c r="B28" s="4">
        <v>225</v>
      </c>
      <c r="C28" s="4">
        <v>249.29</v>
      </c>
      <c r="D28" s="4">
        <v>226</v>
      </c>
      <c r="E28" s="4">
        <v>496.65</v>
      </c>
      <c r="F28" s="5">
        <f t="shared" si="10"/>
        <v>2.197566371681416</v>
      </c>
      <c r="G28" s="3">
        <f>E28/C28</f>
        <v>1.9922580127562277</v>
      </c>
      <c r="H28" s="24">
        <v>348</v>
      </c>
      <c r="I28" s="43">
        <v>323.14</v>
      </c>
      <c r="J28" s="11">
        <f t="shared" si="5"/>
        <v>-24.860000000000014</v>
      </c>
      <c r="K28" s="24">
        <v>348</v>
      </c>
      <c r="L28" s="52">
        <v>323.14</v>
      </c>
      <c r="M28" s="50">
        <f t="shared" si="6"/>
        <v>0</v>
      </c>
      <c r="N28" s="43">
        <v>323.14</v>
      </c>
      <c r="O28" s="11">
        <f t="shared" si="1"/>
        <v>-24.860000000000014</v>
      </c>
      <c r="P28" s="24">
        <v>348</v>
      </c>
      <c r="Q28" s="52">
        <v>323.14</v>
      </c>
      <c r="R28" s="50">
        <f t="shared" si="7"/>
        <v>0</v>
      </c>
      <c r="S28" s="43">
        <v>323.14</v>
      </c>
      <c r="T28" s="43">
        <v>323.14</v>
      </c>
      <c r="U28" s="52">
        <v>323.14</v>
      </c>
      <c r="V28" s="50">
        <f t="shared" si="8"/>
        <v>0</v>
      </c>
      <c r="W28" s="13" t="s">
        <v>64</v>
      </c>
      <c r="X28" s="13"/>
      <c r="Y28" s="35">
        <f t="shared" si="15"/>
        <v>1.4298230088495574</v>
      </c>
      <c r="Z28" s="36">
        <f t="shared" si="16"/>
        <v>0.6506392831974227</v>
      </c>
    </row>
    <row r="29" spans="1:27" s="29" customFormat="1" ht="18.75" customHeight="1" x14ac:dyDescent="0.2">
      <c r="A29" s="21" t="s">
        <v>28</v>
      </c>
      <c r="B29" s="1">
        <f>B7+B23</f>
        <v>270876</v>
      </c>
      <c r="C29" s="1">
        <f>C7+C23</f>
        <v>269854.67</v>
      </c>
      <c r="D29" s="1">
        <f>D7+D23</f>
        <v>286090.8</v>
      </c>
      <c r="E29" s="1">
        <f>E7+E23</f>
        <v>285983.8</v>
      </c>
      <c r="F29" s="9">
        <f t="shared" si="10"/>
        <v>0.99962599286660037</v>
      </c>
      <c r="G29" s="2">
        <f t="shared" si="11"/>
        <v>1.0597696901076421</v>
      </c>
      <c r="H29" s="1">
        <f>H7+H23</f>
        <v>319262.83</v>
      </c>
      <c r="I29" s="11">
        <f>I7+I23</f>
        <v>309319.05000000005</v>
      </c>
      <c r="J29" s="11">
        <f t="shared" si="5"/>
        <v>-9943.7799999999697</v>
      </c>
      <c r="K29" s="11">
        <f>K7+K23</f>
        <v>316262</v>
      </c>
      <c r="L29" s="11">
        <f>L7+L23</f>
        <v>294797.68300000002</v>
      </c>
      <c r="M29" s="11">
        <f>L29-I29</f>
        <v>-14521.367000000027</v>
      </c>
      <c r="N29" s="11">
        <f>N7+N23</f>
        <v>301949.54000000004</v>
      </c>
      <c r="O29" s="11">
        <f t="shared" si="1"/>
        <v>-14312.459999999963</v>
      </c>
      <c r="P29" s="11">
        <f>P7+P23</f>
        <v>316262</v>
      </c>
      <c r="Q29" s="11">
        <f>Q7+Q23</f>
        <v>301949.54000000004</v>
      </c>
      <c r="R29" s="11">
        <f t="shared" si="7"/>
        <v>0</v>
      </c>
      <c r="S29" s="11">
        <f t="shared" ref="S29" si="24">S7+S23</f>
        <v>296841.11</v>
      </c>
      <c r="T29" s="11">
        <f t="shared" ref="T29:U29" si="25">T7+T23</f>
        <v>296841.11</v>
      </c>
      <c r="U29" s="11">
        <f t="shared" si="25"/>
        <v>302070.44</v>
      </c>
      <c r="V29" s="11">
        <f t="shared" si="8"/>
        <v>5229.3300000000163</v>
      </c>
      <c r="W29" s="14"/>
      <c r="X29" s="14"/>
      <c r="Y29" s="35">
        <f t="shared" si="15"/>
        <v>1.081191880340088</v>
      </c>
      <c r="Z29" s="36">
        <f t="shared" si="16"/>
        <v>1.0815964051110589</v>
      </c>
    </row>
    <row r="30" spans="1:27" ht="12.75" x14ac:dyDescent="0.2"/>
    <row r="31" spans="1:27" ht="12.75" x14ac:dyDescent="0.2"/>
    <row r="32" spans="1:27" ht="15" x14ac:dyDescent="0.2">
      <c r="C32" s="30" t="s">
        <v>47</v>
      </c>
      <c r="D32" s="15" t="s">
        <v>46</v>
      </c>
      <c r="E32" s="30"/>
    </row>
    <row r="33" spans="3:5" ht="12.75" x14ac:dyDescent="0.2"/>
    <row r="34" spans="3:5" ht="12.75" x14ac:dyDescent="0.2"/>
    <row r="35" spans="3:5" ht="12.75" x14ac:dyDescent="0.2"/>
    <row r="36" spans="3:5" ht="15" x14ac:dyDescent="0.2">
      <c r="C36" s="30"/>
      <c r="D36" s="30" t="s">
        <v>46</v>
      </c>
      <c r="E36" s="30"/>
    </row>
    <row r="37" spans="3:5" ht="15" x14ac:dyDescent="0.2">
      <c r="C37" s="30"/>
      <c r="D37" s="30"/>
      <c r="E37" s="30"/>
    </row>
    <row r="38" spans="3:5" ht="15" x14ac:dyDescent="0.2">
      <c r="C38" s="30"/>
      <c r="D38" s="30"/>
      <c r="E38" s="30"/>
    </row>
    <row r="39" spans="3:5" ht="15" x14ac:dyDescent="0.2">
      <c r="C39" s="30" t="s">
        <v>48</v>
      </c>
      <c r="D39" s="30" t="s">
        <v>46</v>
      </c>
      <c r="E39" s="30"/>
    </row>
    <row r="40" spans="3:5" ht="15" x14ac:dyDescent="0.2">
      <c r="C40" s="30"/>
      <c r="D40" s="30"/>
      <c r="E40" s="30"/>
    </row>
    <row r="41" spans="3:5" ht="15.75" x14ac:dyDescent="0.2">
      <c r="C41" s="31" t="s">
        <v>49</v>
      </c>
      <c r="D41" s="30"/>
      <c r="E41" s="30"/>
    </row>
    <row r="42" spans="3:5" ht="15" x14ac:dyDescent="0.2">
      <c r="C42" s="30"/>
      <c r="D42" s="30"/>
      <c r="E42" s="30"/>
    </row>
  </sheetData>
  <mergeCells count="2">
    <mergeCell ref="A2:S2"/>
    <mergeCell ref="A3:F3"/>
  </mergeCells>
  <pageMargins left="0.7" right="0.7" top="0.75" bottom="0.75" header="0.3" footer="0.3"/>
  <pageSetup paperSize="9" scale="59" orientation="landscape" r:id="rId1"/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workbookViewId="0">
      <selection activeCell="N7" sqref="N7:N28"/>
    </sheetView>
  </sheetViews>
  <sheetFormatPr defaultColWidth="9.33203125" defaultRowHeight="12.75" x14ac:dyDescent="0.2"/>
  <cols>
    <col min="1" max="1" width="68.1640625" style="15" customWidth="1"/>
    <col min="2" max="2" width="21.5" style="15" hidden="1" customWidth="1"/>
    <col min="3" max="3" width="22.83203125" style="15" hidden="1" customWidth="1"/>
    <col min="4" max="4" width="0.33203125" style="15" hidden="1" customWidth="1"/>
    <col min="5" max="5" width="18.33203125" style="15" hidden="1" customWidth="1"/>
    <col min="6" max="6" width="17.83203125" style="15" hidden="1" customWidth="1"/>
    <col min="7" max="7" width="17.6640625" style="15" hidden="1" customWidth="1"/>
    <col min="8" max="8" width="25.1640625" style="15" hidden="1" customWidth="1"/>
    <col min="9" max="9" width="18.33203125" style="15" hidden="1" customWidth="1"/>
    <col min="10" max="10" width="5.1640625" style="48" hidden="1" customWidth="1"/>
    <col min="11" max="11" width="5.83203125" style="15" hidden="1" customWidth="1"/>
    <col min="12" max="12" width="18.6640625" style="48" customWidth="1"/>
    <col min="13" max="13" width="18.6640625" style="48" hidden="1" customWidth="1"/>
    <col min="14" max="15" width="18.6640625" style="48" customWidth="1"/>
    <col min="16" max="16" width="18" style="15" hidden="1" customWidth="1"/>
    <col min="17" max="17" width="18.6640625" style="48" hidden="1" customWidth="1"/>
    <col min="18" max="18" width="18.6640625" style="15" hidden="1" customWidth="1"/>
    <col min="19" max="19" width="18.6640625" style="48" customWidth="1"/>
    <col min="20" max="20" width="18.6640625" style="48" hidden="1" customWidth="1"/>
    <col min="21" max="22" width="18.6640625" style="48" customWidth="1"/>
    <col min="23" max="23" width="18.5" style="15" hidden="1" customWidth="1"/>
    <col min="24" max="24" width="18.6640625" style="48" hidden="1" customWidth="1"/>
    <col min="25" max="25" width="18.6640625" style="48" customWidth="1"/>
    <col min="26" max="26" width="18.6640625" style="48" hidden="1" customWidth="1"/>
    <col min="27" max="28" width="18.6640625" style="48" customWidth="1"/>
    <col min="29" max="29" width="29.5" style="12" customWidth="1"/>
    <col min="30" max="30" width="22.1640625" style="15" customWidth="1"/>
    <col min="31" max="16384" width="9.33203125" style="15"/>
  </cols>
  <sheetData>
    <row r="1" spans="1:31" ht="12.95" customHeight="1" x14ac:dyDescent="0.2">
      <c r="C1" s="25"/>
      <c r="D1" s="25"/>
      <c r="E1" s="25"/>
      <c r="F1" s="25"/>
      <c r="G1" s="25"/>
      <c r="H1" s="25"/>
      <c r="I1" s="25"/>
      <c r="J1" s="45"/>
      <c r="K1" s="25"/>
      <c r="L1" s="45"/>
      <c r="M1" s="45"/>
      <c r="N1" s="45"/>
      <c r="O1" s="45"/>
      <c r="P1" s="25"/>
      <c r="Q1" s="45"/>
      <c r="R1" s="25"/>
      <c r="S1" s="45"/>
      <c r="T1" s="45"/>
      <c r="U1" s="45"/>
      <c r="V1" s="45"/>
      <c r="W1" s="25"/>
      <c r="X1" s="45"/>
      <c r="Y1" s="45"/>
      <c r="Z1" s="45"/>
      <c r="AA1" s="45"/>
      <c r="AB1" s="45"/>
      <c r="AD1" s="12"/>
    </row>
    <row r="2" spans="1:31" ht="12.95" customHeight="1" x14ac:dyDescent="0.2">
      <c r="A2" s="153" t="s">
        <v>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D2" s="12"/>
    </row>
    <row r="3" spans="1:31" ht="12.95" customHeight="1" x14ac:dyDescent="0.2">
      <c r="A3" s="154"/>
      <c r="B3" s="154"/>
      <c r="C3" s="154"/>
      <c r="D3" s="154"/>
      <c r="E3" s="154"/>
      <c r="F3" s="154"/>
      <c r="G3" s="60"/>
      <c r="H3" s="60"/>
      <c r="I3" s="60"/>
      <c r="J3" s="46"/>
      <c r="K3" s="60"/>
      <c r="L3" s="46"/>
      <c r="M3" s="46"/>
      <c r="N3" s="46"/>
      <c r="O3" s="46"/>
      <c r="P3" s="60"/>
      <c r="Q3" s="46"/>
      <c r="R3" s="60"/>
      <c r="S3" s="46"/>
      <c r="T3" s="46"/>
      <c r="U3" s="46"/>
      <c r="V3" s="46"/>
      <c r="W3" s="60"/>
      <c r="X3" s="46"/>
      <c r="Y3" s="46"/>
      <c r="Z3" s="46"/>
      <c r="AA3" s="46"/>
      <c r="AB3" s="46"/>
      <c r="AD3" s="12"/>
    </row>
    <row r="4" spans="1:31" ht="12.95" customHeight="1" x14ac:dyDescent="0.2">
      <c r="A4" s="16"/>
      <c r="B4" s="16"/>
      <c r="C4" s="27"/>
      <c r="D4" s="27"/>
      <c r="E4" s="27"/>
      <c r="F4" s="27"/>
      <c r="G4" s="27"/>
      <c r="H4" s="27"/>
      <c r="I4" s="27"/>
      <c r="J4" s="47"/>
      <c r="K4" s="27"/>
      <c r="L4" s="47"/>
      <c r="M4" s="47"/>
      <c r="N4" s="47"/>
      <c r="O4" s="47"/>
      <c r="P4" s="27"/>
      <c r="Q4" s="47"/>
      <c r="R4" s="27"/>
      <c r="S4" s="47"/>
      <c r="T4" s="47"/>
      <c r="U4" s="47"/>
      <c r="V4" s="47"/>
      <c r="W4" s="27"/>
      <c r="X4" s="47"/>
      <c r="Y4" s="47"/>
      <c r="Z4" s="47"/>
      <c r="AA4" s="47"/>
      <c r="AB4" s="47"/>
      <c r="AD4" s="12"/>
    </row>
    <row r="5" spans="1:31" ht="51.75" customHeight="1" x14ac:dyDescent="0.2">
      <c r="A5" s="17" t="s">
        <v>0</v>
      </c>
      <c r="B5" s="10" t="s">
        <v>27</v>
      </c>
      <c r="C5" s="54" t="s">
        <v>34</v>
      </c>
      <c r="D5" s="55" t="s">
        <v>35</v>
      </c>
      <c r="E5" s="55" t="s">
        <v>51</v>
      </c>
      <c r="F5" s="56" t="s">
        <v>52</v>
      </c>
      <c r="G5" s="56" t="s">
        <v>53</v>
      </c>
      <c r="H5" s="57" t="s">
        <v>71</v>
      </c>
      <c r="I5" s="56" t="s">
        <v>83</v>
      </c>
      <c r="J5" s="58" t="s">
        <v>72</v>
      </c>
      <c r="K5" s="57" t="s">
        <v>74</v>
      </c>
      <c r="L5" s="59" t="s">
        <v>91</v>
      </c>
      <c r="M5" s="58" t="s">
        <v>72</v>
      </c>
      <c r="N5" s="61" t="s">
        <v>94</v>
      </c>
      <c r="O5" s="58" t="s">
        <v>72</v>
      </c>
      <c r="P5" s="56" t="s">
        <v>84</v>
      </c>
      <c r="Q5" s="58" t="s">
        <v>72</v>
      </c>
      <c r="R5" s="57" t="s">
        <v>73</v>
      </c>
      <c r="S5" s="59" t="s">
        <v>92</v>
      </c>
      <c r="T5" s="58" t="s">
        <v>72</v>
      </c>
      <c r="U5" s="61" t="s">
        <v>94</v>
      </c>
      <c r="V5" s="58" t="s">
        <v>72</v>
      </c>
      <c r="W5" s="56" t="s">
        <v>90</v>
      </c>
      <c r="X5" s="56" t="s">
        <v>72</v>
      </c>
      <c r="Y5" s="59" t="s">
        <v>93</v>
      </c>
      <c r="Z5" s="67" t="s">
        <v>72</v>
      </c>
      <c r="AA5" s="61" t="s">
        <v>95</v>
      </c>
      <c r="AB5" s="58" t="s">
        <v>72</v>
      </c>
      <c r="AD5" s="12"/>
      <c r="AE5" s="48"/>
    </row>
    <row r="6" spans="1:31" ht="12.75" customHeight="1" x14ac:dyDescent="0.2">
      <c r="A6" s="18" t="s">
        <v>2</v>
      </c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29</v>
      </c>
      <c r="H6" s="18" t="s">
        <v>30</v>
      </c>
      <c r="I6" s="18" t="s">
        <v>31</v>
      </c>
      <c r="J6" s="18" t="s">
        <v>32</v>
      </c>
      <c r="K6" s="18" t="s">
        <v>33</v>
      </c>
      <c r="L6" s="18" t="s">
        <v>42</v>
      </c>
      <c r="M6" s="18" t="s">
        <v>43</v>
      </c>
      <c r="N6" s="65" t="s">
        <v>42</v>
      </c>
      <c r="O6" s="18"/>
      <c r="P6" s="18" t="s">
        <v>75</v>
      </c>
      <c r="Q6" s="18" t="s">
        <v>76</v>
      </c>
      <c r="R6" s="18" t="s">
        <v>77</v>
      </c>
      <c r="S6" s="18" t="s">
        <v>78</v>
      </c>
      <c r="T6" s="18" t="s">
        <v>85</v>
      </c>
      <c r="U6" s="18"/>
      <c r="V6" s="18"/>
      <c r="W6" s="18" t="s">
        <v>86</v>
      </c>
      <c r="X6" s="18" t="s">
        <v>87</v>
      </c>
      <c r="Y6" s="18" t="s">
        <v>88</v>
      </c>
      <c r="Z6" s="68" t="s">
        <v>89</v>
      </c>
      <c r="AA6" s="65" t="s">
        <v>88</v>
      </c>
      <c r="AB6" s="18"/>
      <c r="AD6" s="12"/>
      <c r="AE6" s="48"/>
    </row>
    <row r="7" spans="1:31" ht="17.100000000000001" customHeight="1" x14ac:dyDescent="0.2">
      <c r="A7" s="19" t="s">
        <v>8</v>
      </c>
      <c r="B7" s="1" t="e">
        <f>B8+B10+B14+B15+B16+B21+B23+B26+B27</f>
        <v>#REF!</v>
      </c>
      <c r="C7" s="1" t="e">
        <f>C8+C10+C14+C15+C16+C21+C23+C26+C27</f>
        <v>#REF!</v>
      </c>
      <c r="D7" s="1" t="e">
        <f>D8+D10+D14+D15+D16+D21+D23+D26+D27</f>
        <v>#REF!</v>
      </c>
      <c r="E7" s="1" t="e">
        <f>E8+E10+E14+E15+E16+E21+E23+E26+E27</f>
        <v>#REF!</v>
      </c>
      <c r="F7" s="2" t="e">
        <f>E7/D7</f>
        <v>#REF!</v>
      </c>
      <c r="G7" s="2" t="e">
        <f>E7/C7</f>
        <v>#REF!</v>
      </c>
      <c r="H7" s="8" t="e">
        <f>H8+H9+H10+H14+H15+H16+H21+H23+H26+H27</f>
        <v>#REF!</v>
      </c>
      <c r="I7" s="40" t="e">
        <f>I8+I9+I10+I14+I15+I16+I21+I23+I26+I27</f>
        <v>#REF!</v>
      </c>
      <c r="J7" s="11" t="e">
        <f>I7-H7</f>
        <v>#REF!</v>
      </c>
      <c r="K7" s="8">
        <f>K8+K9+K13+K14+K15+K20+K22+K25+K26</f>
        <v>291262</v>
      </c>
      <c r="L7" s="42">
        <f>L8+L9+L10+L14+L15+L16+L21+L23+L26+L27</f>
        <v>279087.79000000004</v>
      </c>
      <c r="M7" s="11" t="e">
        <f>L7-I7</f>
        <v>#REF!</v>
      </c>
      <c r="N7" s="62">
        <f>N8+N9+N10+N14+N15+N16+N21+N23+N26+N27</f>
        <v>279087.79000000004</v>
      </c>
      <c r="O7" s="11">
        <f>N7-L7</f>
        <v>0</v>
      </c>
      <c r="P7" s="40" t="e">
        <f>P8+P9+P10+P14+P15+P16+P21+P23+P26+P27</f>
        <v>#REF!</v>
      </c>
      <c r="Q7" s="11" t="e">
        <f t="shared" ref="Q7:Q28" si="0">P7-K7</f>
        <v>#REF!</v>
      </c>
      <c r="R7" s="8">
        <f>R8+R9+R13+R14+R15+R20+R22+R25+R26</f>
        <v>291262</v>
      </c>
      <c r="S7" s="42">
        <f>S8+S9+S10+S14+S15+S16+S21+S23+S26+S27</f>
        <v>279949.54000000004</v>
      </c>
      <c r="T7" s="11" t="e">
        <f>S7-P7</f>
        <v>#REF!</v>
      </c>
      <c r="U7" s="62">
        <f>U8+U9+U10+U14+U15+U16+U21+U23+U26+U27</f>
        <v>276949.54000000004</v>
      </c>
      <c r="V7" s="11">
        <f>U7-S7</f>
        <v>-3000</v>
      </c>
      <c r="W7" s="40" t="e">
        <f>W8+W9+W10+W14+W15+W16+W21+W23+W26+W27</f>
        <v>#REF!</v>
      </c>
      <c r="X7" s="40" t="e">
        <f>X8+X9+X10+X14+X15+X16+X21+X23+X26+X27</f>
        <v>#REF!</v>
      </c>
      <c r="Y7" s="42">
        <f>Y8+Y9+Y10+Y14+Y15+Y16+Y21+Y23+Y26+Y27</f>
        <v>280010.44</v>
      </c>
      <c r="Z7" s="69" t="e">
        <f>Y7-W7</f>
        <v>#REF!</v>
      </c>
      <c r="AA7" s="62">
        <f>AA8+AA9+AA10+AA14+AA15+AA16+AA21+AA23+AA26+AA27</f>
        <v>277070.44</v>
      </c>
      <c r="AB7" s="11">
        <f>AA7-Y7</f>
        <v>-2940</v>
      </c>
      <c r="AD7" s="12"/>
      <c r="AE7" s="48"/>
    </row>
    <row r="8" spans="1:31" ht="17.100000000000001" customHeight="1" x14ac:dyDescent="0.2">
      <c r="A8" s="20" t="s">
        <v>38</v>
      </c>
      <c r="B8" s="4">
        <v>201000</v>
      </c>
      <c r="C8" s="4">
        <v>201224.3</v>
      </c>
      <c r="D8" s="4">
        <v>219312</v>
      </c>
      <c r="E8" s="4">
        <v>223615.24</v>
      </c>
      <c r="F8" s="5">
        <f>E8/D8</f>
        <v>1.0196215437367768</v>
      </c>
      <c r="G8" s="3">
        <f>E8/C8</f>
        <v>1.1112735390308228</v>
      </c>
      <c r="H8" s="24">
        <v>254995</v>
      </c>
      <c r="I8" s="43">
        <v>239044.69</v>
      </c>
      <c r="J8" s="11">
        <f t="shared" ref="J8:J28" si="1">I8-H8</f>
        <v>-15950.309999999998</v>
      </c>
      <c r="K8" s="24">
        <v>254995</v>
      </c>
      <c r="L8" s="52">
        <v>235269.69</v>
      </c>
      <c r="M8" s="50">
        <f t="shared" ref="M8:M27" si="2">L8-I8</f>
        <v>-3775</v>
      </c>
      <c r="N8" s="63">
        <v>235269.69</v>
      </c>
      <c r="O8" s="50">
        <f>N8-L8</f>
        <v>0</v>
      </c>
      <c r="P8" s="43">
        <v>239044.69</v>
      </c>
      <c r="Q8" s="11">
        <f t="shared" si="0"/>
        <v>-15950.309999999998</v>
      </c>
      <c r="R8" s="24">
        <v>254995</v>
      </c>
      <c r="S8" s="52">
        <v>239044.69</v>
      </c>
      <c r="T8" s="50">
        <f t="shared" ref="T8:T28" si="3">S8-P8</f>
        <v>0</v>
      </c>
      <c r="U8" s="63">
        <v>239044.69</v>
      </c>
      <c r="V8" s="50">
        <f>U8-S8</f>
        <v>0</v>
      </c>
      <c r="W8" s="43">
        <v>239044.69</v>
      </c>
      <c r="X8" s="43">
        <v>239044.69</v>
      </c>
      <c r="Y8" s="52">
        <v>239044.69</v>
      </c>
      <c r="Z8" s="70">
        <f t="shared" ref="Z8:Z28" si="4">Y8-W8</f>
        <v>0</v>
      </c>
      <c r="AA8" s="63">
        <v>239044.69</v>
      </c>
      <c r="AB8" s="50">
        <f>AA8-Y8</f>
        <v>0</v>
      </c>
      <c r="AC8" s="13" t="s">
        <v>56</v>
      </c>
      <c r="AD8" s="13"/>
      <c r="AE8" s="48"/>
    </row>
    <row r="9" spans="1:31" ht="30" customHeight="1" x14ac:dyDescent="0.2">
      <c r="A9" s="20" t="s">
        <v>54</v>
      </c>
      <c r="B9" s="4">
        <v>0</v>
      </c>
      <c r="C9" s="4">
        <v>0</v>
      </c>
      <c r="D9" s="4">
        <v>0</v>
      </c>
      <c r="E9" s="4">
        <v>0</v>
      </c>
      <c r="F9" s="5">
        <v>0</v>
      </c>
      <c r="G9" s="3">
        <v>0</v>
      </c>
      <c r="H9" s="24">
        <v>0</v>
      </c>
      <c r="I9" s="43">
        <v>166.15</v>
      </c>
      <c r="J9" s="11">
        <f t="shared" si="1"/>
        <v>166.15</v>
      </c>
      <c r="K9" s="24">
        <v>0</v>
      </c>
      <c r="L9" s="52">
        <v>166.13</v>
      </c>
      <c r="M9" s="50">
        <f t="shared" si="2"/>
        <v>-2.0000000000010232E-2</v>
      </c>
      <c r="N9" s="63">
        <v>166.13</v>
      </c>
      <c r="O9" s="50">
        <f t="shared" ref="O9:O28" si="5">N9-L9</f>
        <v>0</v>
      </c>
      <c r="P9" s="43">
        <v>165.35</v>
      </c>
      <c r="Q9" s="11">
        <f t="shared" si="0"/>
        <v>165.35</v>
      </c>
      <c r="R9" s="24">
        <v>0</v>
      </c>
      <c r="S9" s="52">
        <v>165.35</v>
      </c>
      <c r="T9" s="50">
        <f t="shared" si="3"/>
        <v>0</v>
      </c>
      <c r="U9" s="63">
        <v>165.35</v>
      </c>
      <c r="V9" s="50">
        <f t="shared" ref="V9:V28" si="6">U9-S9</f>
        <v>0</v>
      </c>
      <c r="W9" s="43">
        <v>180.32</v>
      </c>
      <c r="X9" s="43">
        <v>180.32</v>
      </c>
      <c r="Y9" s="52">
        <v>180.33</v>
      </c>
      <c r="Z9" s="70">
        <f t="shared" si="4"/>
        <v>1.0000000000019327E-2</v>
      </c>
      <c r="AA9" s="63">
        <v>180.33</v>
      </c>
      <c r="AB9" s="50">
        <f t="shared" ref="AB9:AB28" si="7">AA9-Y9</f>
        <v>0</v>
      </c>
      <c r="AC9" s="13" t="s">
        <v>55</v>
      </c>
      <c r="AD9" s="13"/>
      <c r="AE9" s="48"/>
    </row>
    <row r="10" spans="1:31" ht="17.100000000000001" customHeight="1" x14ac:dyDescent="0.2">
      <c r="A10" s="20" t="s">
        <v>37</v>
      </c>
      <c r="B10" s="4">
        <f>B11+B12+B13</f>
        <v>13521.3</v>
      </c>
      <c r="C10" s="4">
        <f t="shared" ref="C10:E10" si="8">C11+C12+C13</f>
        <v>10568.880000000001</v>
      </c>
      <c r="D10" s="4">
        <f>D11+D12+D13</f>
        <v>12100.2</v>
      </c>
      <c r="E10" s="4">
        <f t="shared" si="8"/>
        <v>8316.8000000000011</v>
      </c>
      <c r="F10" s="5">
        <f t="shared" ref="F10:F28" si="9">E10/D10</f>
        <v>0.68732748219037709</v>
      </c>
      <c r="G10" s="3">
        <f t="shared" ref="G10:G28" si="10">E10/C10</f>
        <v>0.78691403441045793</v>
      </c>
      <c r="H10" s="6">
        <f>H11+H12+H13</f>
        <v>9780.2000000000007</v>
      </c>
      <c r="I10" s="39">
        <f>I11+I12+I13</f>
        <v>5441.85</v>
      </c>
      <c r="J10" s="11">
        <f t="shared" si="1"/>
        <v>-4338.3500000000004</v>
      </c>
      <c r="K10" s="6">
        <f t="shared" ref="K10:Y10" si="11">K11+K12+K13</f>
        <v>9780.2000000000007</v>
      </c>
      <c r="L10" s="53">
        <f>L11+L12+L13</f>
        <v>7832.1100000000006</v>
      </c>
      <c r="M10" s="51">
        <f t="shared" si="2"/>
        <v>2390.2600000000002</v>
      </c>
      <c r="N10" s="64">
        <f>N11+N12+N13</f>
        <v>7832.1100000000006</v>
      </c>
      <c r="O10" s="50">
        <f t="shared" si="5"/>
        <v>0</v>
      </c>
      <c r="P10" s="39">
        <f t="shared" si="11"/>
        <v>557.57000000000005</v>
      </c>
      <c r="Q10" s="11">
        <f t="shared" si="0"/>
        <v>-9222.630000000001</v>
      </c>
      <c r="R10" s="6">
        <f t="shared" si="11"/>
        <v>9780.2000000000007</v>
      </c>
      <c r="S10" s="53">
        <f t="shared" si="11"/>
        <v>557.57000000000005</v>
      </c>
      <c r="T10" s="51">
        <f t="shared" si="3"/>
        <v>0</v>
      </c>
      <c r="U10" s="64">
        <f t="shared" ref="U10" si="12">U11+U12+U13</f>
        <v>557.57000000000005</v>
      </c>
      <c r="V10" s="50">
        <f t="shared" si="6"/>
        <v>0</v>
      </c>
      <c r="W10" s="39">
        <f t="shared" si="11"/>
        <v>557.57000000000005</v>
      </c>
      <c r="X10" s="39">
        <f t="shared" si="11"/>
        <v>557.57000000000005</v>
      </c>
      <c r="Y10" s="53">
        <f t="shared" si="11"/>
        <v>557.57000000000005</v>
      </c>
      <c r="Z10" s="71">
        <f t="shared" si="4"/>
        <v>0</v>
      </c>
      <c r="AA10" s="64">
        <f t="shared" ref="AA10" si="13">AA11+AA12+AA13</f>
        <v>557.57000000000005</v>
      </c>
      <c r="AB10" s="50">
        <f t="shared" si="7"/>
        <v>0</v>
      </c>
      <c r="AD10" s="12"/>
      <c r="AE10" s="48"/>
    </row>
    <row r="11" spans="1:31" ht="15" customHeight="1" x14ac:dyDescent="0.2">
      <c r="A11" s="20" t="s">
        <v>9</v>
      </c>
      <c r="B11" s="4">
        <v>13025</v>
      </c>
      <c r="C11" s="4">
        <v>10411.34</v>
      </c>
      <c r="D11" s="4">
        <v>11600</v>
      </c>
      <c r="E11" s="4">
        <v>7647.81</v>
      </c>
      <c r="F11" s="5">
        <f t="shared" si="9"/>
        <v>0.6592939655172414</v>
      </c>
      <c r="G11" s="3">
        <f t="shared" si="10"/>
        <v>0.73456538735647858</v>
      </c>
      <c r="H11" s="24">
        <v>9280</v>
      </c>
      <c r="I11" s="43">
        <v>4884.28</v>
      </c>
      <c r="J11" s="11">
        <f t="shared" si="1"/>
        <v>-4395.72</v>
      </c>
      <c r="K11" s="24">
        <v>9280</v>
      </c>
      <c r="L11" s="52">
        <v>7274.54</v>
      </c>
      <c r="M11" s="50">
        <f t="shared" si="2"/>
        <v>2390.2600000000002</v>
      </c>
      <c r="N11" s="63">
        <v>7274.54</v>
      </c>
      <c r="O11" s="50">
        <f t="shared" si="5"/>
        <v>0</v>
      </c>
      <c r="P11" s="43">
        <v>0</v>
      </c>
      <c r="Q11" s="11">
        <f t="shared" si="0"/>
        <v>-9280</v>
      </c>
      <c r="R11" s="24">
        <v>9280</v>
      </c>
      <c r="S11" s="52">
        <v>0</v>
      </c>
      <c r="T11" s="50">
        <f t="shared" si="3"/>
        <v>0</v>
      </c>
      <c r="U11" s="63">
        <v>0</v>
      </c>
      <c r="V11" s="50">
        <f t="shared" si="6"/>
        <v>0</v>
      </c>
      <c r="W11" s="43">
        <v>0</v>
      </c>
      <c r="X11" s="43">
        <v>0</v>
      </c>
      <c r="Y11" s="52">
        <v>0</v>
      </c>
      <c r="Z11" s="70">
        <f t="shared" si="4"/>
        <v>0</v>
      </c>
      <c r="AA11" s="63">
        <v>0</v>
      </c>
      <c r="AB11" s="50">
        <f t="shared" si="7"/>
        <v>0</v>
      </c>
      <c r="AC11" s="13" t="s">
        <v>58</v>
      </c>
      <c r="AD11" s="13" t="s">
        <v>67</v>
      </c>
      <c r="AE11" s="48"/>
    </row>
    <row r="12" spans="1:31" ht="15" customHeight="1" x14ac:dyDescent="0.2">
      <c r="A12" s="20" t="s">
        <v>10</v>
      </c>
      <c r="B12" s="4">
        <v>136</v>
      </c>
      <c r="C12" s="4">
        <v>-246.21</v>
      </c>
      <c r="D12" s="4">
        <v>140</v>
      </c>
      <c r="E12" s="4">
        <v>59.64</v>
      </c>
      <c r="F12" s="5">
        <f t="shared" si="9"/>
        <v>0.42599999999999999</v>
      </c>
      <c r="G12" s="3">
        <f t="shared" si="10"/>
        <v>-0.24223224077007433</v>
      </c>
      <c r="H12" s="6">
        <v>140</v>
      </c>
      <c r="I12" s="43">
        <v>70.97</v>
      </c>
      <c r="J12" s="11">
        <f t="shared" si="1"/>
        <v>-69.03</v>
      </c>
      <c r="K12" s="6">
        <v>140</v>
      </c>
      <c r="L12" s="52">
        <v>70.97</v>
      </c>
      <c r="M12" s="51">
        <f t="shared" si="2"/>
        <v>0</v>
      </c>
      <c r="N12" s="63">
        <v>70.97</v>
      </c>
      <c r="O12" s="50">
        <f t="shared" si="5"/>
        <v>0</v>
      </c>
      <c r="P12" s="39">
        <v>70.97</v>
      </c>
      <c r="Q12" s="11">
        <f t="shared" si="0"/>
        <v>-69.03</v>
      </c>
      <c r="R12" s="6">
        <v>140</v>
      </c>
      <c r="S12" s="53">
        <v>70.97</v>
      </c>
      <c r="T12" s="51">
        <f t="shared" si="3"/>
        <v>0</v>
      </c>
      <c r="U12" s="64">
        <v>70.97</v>
      </c>
      <c r="V12" s="50">
        <f t="shared" si="6"/>
        <v>0</v>
      </c>
      <c r="W12" s="39">
        <v>70.97</v>
      </c>
      <c r="X12" s="39">
        <v>70.97</v>
      </c>
      <c r="Y12" s="53">
        <v>70.97</v>
      </c>
      <c r="Z12" s="71">
        <f t="shared" si="4"/>
        <v>0</v>
      </c>
      <c r="AA12" s="64">
        <v>70.97</v>
      </c>
      <c r="AB12" s="50">
        <f t="shared" si="7"/>
        <v>0</v>
      </c>
      <c r="AC12" s="13" t="s">
        <v>70</v>
      </c>
      <c r="AD12" s="13" t="s">
        <v>69</v>
      </c>
      <c r="AE12" s="48"/>
    </row>
    <row r="13" spans="1:31" ht="26.25" customHeight="1" x14ac:dyDescent="0.2">
      <c r="A13" s="20" t="s">
        <v>11</v>
      </c>
      <c r="B13" s="4">
        <v>360.3</v>
      </c>
      <c r="C13" s="4">
        <v>403.75</v>
      </c>
      <c r="D13" s="4">
        <v>360.2</v>
      </c>
      <c r="E13" s="4">
        <v>609.35</v>
      </c>
      <c r="F13" s="5">
        <f t="shared" si="9"/>
        <v>1.6916990560799556</v>
      </c>
      <c r="G13" s="3">
        <f t="shared" si="10"/>
        <v>1.5092260061919505</v>
      </c>
      <c r="H13" s="6">
        <v>360.2</v>
      </c>
      <c r="I13" s="39">
        <v>486.6</v>
      </c>
      <c r="J13" s="11">
        <f t="shared" si="1"/>
        <v>126.40000000000003</v>
      </c>
      <c r="K13" s="6">
        <v>360.2</v>
      </c>
      <c r="L13" s="53">
        <v>486.6</v>
      </c>
      <c r="M13" s="51">
        <f t="shared" si="2"/>
        <v>0</v>
      </c>
      <c r="N13" s="64">
        <v>486.6</v>
      </c>
      <c r="O13" s="50">
        <f t="shared" si="5"/>
        <v>0</v>
      </c>
      <c r="P13" s="39">
        <v>486.6</v>
      </c>
      <c r="Q13" s="11">
        <f t="shared" si="0"/>
        <v>126.40000000000003</v>
      </c>
      <c r="R13" s="6">
        <v>360.2</v>
      </c>
      <c r="S13" s="53">
        <v>486.6</v>
      </c>
      <c r="T13" s="51">
        <f t="shared" si="3"/>
        <v>0</v>
      </c>
      <c r="U13" s="64">
        <v>486.6</v>
      </c>
      <c r="V13" s="50">
        <f t="shared" si="6"/>
        <v>0</v>
      </c>
      <c r="W13" s="39">
        <v>486.6</v>
      </c>
      <c r="X13" s="39">
        <v>486.6</v>
      </c>
      <c r="Y13" s="53">
        <v>486.6</v>
      </c>
      <c r="Z13" s="71">
        <f t="shared" si="4"/>
        <v>0</v>
      </c>
      <c r="AA13" s="64">
        <v>486.6</v>
      </c>
      <c r="AB13" s="50">
        <f t="shared" si="7"/>
        <v>0</v>
      </c>
      <c r="AC13" s="13" t="s">
        <v>59</v>
      </c>
      <c r="AD13" s="13" t="s">
        <v>60</v>
      </c>
      <c r="AE13" s="48"/>
    </row>
    <row r="14" spans="1:31" ht="17.100000000000001" customHeight="1" x14ac:dyDescent="0.2">
      <c r="A14" s="20" t="s">
        <v>12</v>
      </c>
      <c r="B14" s="4">
        <v>1500</v>
      </c>
      <c r="C14" s="4">
        <v>1298.72</v>
      </c>
      <c r="D14" s="4">
        <v>1500</v>
      </c>
      <c r="E14" s="4">
        <v>1156.58</v>
      </c>
      <c r="F14" s="5">
        <f t="shared" si="9"/>
        <v>0.77105333333333326</v>
      </c>
      <c r="G14" s="3">
        <f t="shared" si="10"/>
        <v>0.89055377602562513</v>
      </c>
      <c r="H14" s="6">
        <v>1500</v>
      </c>
      <c r="I14" s="39">
        <v>1347.43</v>
      </c>
      <c r="J14" s="11">
        <f t="shared" si="1"/>
        <v>-152.56999999999994</v>
      </c>
      <c r="K14" s="6">
        <v>1500</v>
      </c>
      <c r="L14" s="53">
        <v>1347.43</v>
      </c>
      <c r="M14" s="51">
        <f t="shared" si="2"/>
        <v>0</v>
      </c>
      <c r="N14" s="64">
        <v>1347.43</v>
      </c>
      <c r="O14" s="50">
        <f t="shared" si="5"/>
        <v>0</v>
      </c>
      <c r="P14" s="39">
        <v>1347.43</v>
      </c>
      <c r="Q14" s="11">
        <f t="shared" si="0"/>
        <v>-152.56999999999994</v>
      </c>
      <c r="R14" s="6">
        <v>1500</v>
      </c>
      <c r="S14" s="53">
        <v>1347.43</v>
      </c>
      <c r="T14" s="51">
        <f t="shared" si="3"/>
        <v>0</v>
      </c>
      <c r="U14" s="64">
        <v>1347.43</v>
      </c>
      <c r="V14" s="50">
        <f t="shared" si="6"/>
        <v>0</v>
      </c>
      <c r="W14" s="39">
        <v>1347.43</v>
      </c>
      <c r="X14" s="39">
        <v>1347.43</v>
      </c>
      <c r="Y14" s="53">
        <v>1347.43</v>
      </c>
      <c r="Z14" s="71">
        <f t="shared" si="4"/>
        <v>0</v>
      </c>
      <c r="AA14" s="64">
        <v>1347.43</v>
      </c>
      <c r="AB14" s="50">
        <f t="shared" si="7"/>
        <v>0</v>
      </c>
      <c r="AC14" s="13" t="s">
        <v>61</v>
      </c>
      <c r="AD14" s="12"/>
      <c r="AE14" s="48"/>
    </row>
    <row r="15" spans="1:31" ht="30" customHeight="1" x14ac:dyDescent="0.2">
      <c r="A15" s="20" t="s">
        <v>13</v>
      </c>
      <c r="B15" s="4">
        <v>6.7</v>
      </c>
      <c r="C15" s="4">
        <v>6.8</v>
      </c>
      <c r="D15" s="4">
        <v>6.8</v>
      </c>
      <c r="E15" s="4">
        <v>3.62</v>
      </c>
      <c r="F15" s="5">
        <f t="shared" si="9"/>
        <v>0.53235294117647058</v>
      </c>
      <c r="G15" s="3">
        <f t="shared" si="10"/>
        <v>0.53235294117647058</v>
      </c>
      <c r="H15" s="24">
        <v>6.8</v>
      </c>
      <c r="I15" s="43">
        <v>5.7</v>
      </c>
      <c r="J15" s="11">
        <f t="shared" si="1"/>
        <v>-1.0999999999999996</v>
      </c>
      <c r="K15" s="24">
        <v>6.8</v>
      </c>
      <c r="L15" s="52">
        <v>5.7</v>
      </c>
      <c r="M15" s="50">
        <f t="shared" si="2"/>
        <v>0</v>
      </c>
      <c r="N15" s="63">
        <v>5.7</v>
      </c>
      <c r="O15" s="50">
        <f t="shared" si="5"/>
        <v>0</v>
      </c>
      <c r="P15" s="43">
        <v>5.7</v>
      </c>
      <c r="Q15" s="11">
        <f t="shared" si="0"/>
        <v>-1.0999999999999996</v>
      </c>
      <c r="R15" s="24">
        <v>6.8</v>
      </c>
      <c r="S15" s="52">
        <v>5.7</v>
      </c>
      <c r="T15" s="50">
        <f t="shared" si="3"/>
        <v>0</v>
      </c>
      <c r="U15" s="63">
        <v>5.7</v>
      </c>
      <c r="V15" s="50">
        <f t="shared" si="6"/>
        <v>0</v>
      </c>
      <c r="W15" s="43">
        <v>5.7</v>
      </c>
      <c r="X15" s="43">
        <v>5.7</v>
      </c>
      <c r="Y15" s="52">
        <v>5.7</v>
      </c>
      <c r="Z15" s="70">
        <f t="shared" si="4"/>
        <v>0</v>
      </c>
      <c r="AA15" s="63">
        <v>5.7</v>
      </c>
      <c r="AB15" s="50">
        <f t="shared" si="7"/>
        <v>0</v>
      </c>
      <c r="AC15" s="13" t="s">
        <v>63</v>
      </c>
      <c r="AD15" s="12"/>
      <c r="AE15" s="48"/>
    </row>
    <row r="16" spans="1:31" ht="30" customHeight="1" x14ac:dyDescent="0.2">
      <c r="A16" s="20" t="s">
        <v>14</v>
      </c>
      <c r="B16" s="4" t="e">
        <f>B17+B18+B19+#REF!+B20</f>
        <v>#REF!</v>
      </c>
      <c r="C16" s="4" t="e">
        <f>C17+C18+C19+#REF!+C20</f>
        <v>#REF!</v>
      </c>
      <c r="D16" s="4" t="e">
        <f>D17+D18+D19+#REF!+D20</f>
        <v>#REF!</v>
      </c>
      <c r="E16" s="4" t="e">
        <f>E17+E18+E19+#REF!+E20</f>
        <v>#REF!</v>
      </c>
      <c r="F16" s="5" t="e">
        <f t="shared" si="9"/>
        <v>#REF!</v>
      </c>
      <c r="G16" s="3" t="e">
        <f t="shared" si="10"/>
        <v>#REF!</v>
      </c>
      <c r="H16" s="6" t="e">
        <f>H17+H18+H19+#REF!+H20</f>
        <v>#REF!</v>
      </c>
      <c r="I16" s="39" t="e">
        <f>I17+I18+I19+#REF!+I20</f>
        <v>#REF!</v>
      </c>
      <c r="J16" s="11" t="e">
        <f t="shared" si="1"/>
        <v>#REF!</v>
      </c>
      <c r="K16" s="6" t="e">
        <f>K17+K18+K19+#REF!+K20</f>
        <v>#REF!</v>
      </c>
      <c r="L16" s="53">
        <f t="shared" ref="L16:M16" si="14">L17+L18+L19+L20</f>
        <v>19466.8</v>
      </c>
      <c r="M16" s="51">
        <f t="shared" si="14"/>
        <v>-2596.5</v>
      </c>
      <c r="N16" s="64">
        <f>N17+N18+N19+N20</f>
        <v>19466.8</v>
      </c>
      <c r="O16" s="50">
        <f t="shared" si="5"/>
        <v>0</v>
      </c>
      <c r="P16" s="39" t="e">
        <f>P17+P18+P19+#REF!+P20</f>
        <v>#REF!</v>
      </c>
      <c r="Q16" s="11" t="e">
        <f t="shared" si="0"/>
        <v>#REF!</v>
      </c>
      <c r="R16" s="6" t="e">
        <f>R17+R18+R19+#REF!+R20</f>
        <v>#REF!</v>
      </c>
      <c r="S16" s="53">
        <f>S17+S18+S19+S20</f>
        <v>22220.34</v>
      </c>
      <c r="T16" s="51" t="e">
        <f t="shared" si="3"/>
        <v>#REF!</v>
      </c>
      <c r="U16" s="64">
        <f>U17+U18+U19+U20</f>
        <v>19220.34</v>
      </c>
      <c r="V16" s="50">
        <f t="shared" si="6"/>
        <v>-3000</v>
      </c>
      <c r="W16" s="39" t="e">
        <f>W17+W18+W19+#REF!+W20</f>
        <v>#REF!</v>
      </c>
      <c r="X16" s="39" t="e">
        <f>X17+X18+X19+#REF!+X20</f>
        <v>#REF!</v>
      </c>
      <c r="Y16" s="53">
        <f>Y17+Y18+Y19+Y20</f>
        <v>22223.1</v>
      </c>
      <c r="Z16" s="71" t="e">
        <f t="shared" si="4"/>
        <v>#REF!</v>
      </c>
      <c r="AA16" s="64">
        <f>AA17+AA18+AA19+AA20</f>
        <v>19283.099999999999</v>
      </c>
      <c r="AB16" s="50">
        <f t="shared" si="7"/>
        <v>-2940</v>
      </c>
      <c r="AD16" s="12"/>
      <c r="AE16" s="48"/>
    </row>
    <row r="17" spans="1:31" ht="26.25" customHeight="1" x14ac:dyDescent="0.2">
      <c r="A17" s="20" t="s">
        <v>15</v>
      </c>
      <c r="B17" s="4">
        <v>66</v>
      </c>
      <c r="C17" s="4">
        <v>134.04</v>
      </c>
      <c r="D17" s="4">
        <v>611.4</v>
      </c>
      <c r="E17" s="4">
        <v>103.46</v>
      </c>
      <c r="F17" s="5">
        <f t="shared" si="9"/>
        <v>0.16921818776578346</v>
      </c>
      <c r="G17" s="3">
        <f t="shared" si="10"/>
        <v>0.7718591465234258</v>
      </c>
      <c r="H17" s="24">
        <v>70</v>
      </c>
      <c r="I17" s="39">
        <v>100.8</v>
      </c>
      <c r="J17" s="11">
        <f t="shared" si="1"/>
        <v>30.799999999999997</v>
      </c>
      <c r="K17" s="24">
        <v>70</v>
      </c>
      <c r="L17" s="53">
        <v>100.8</v>
      </c>
      <c r="M17" s="51">
        <f t="shared" si="2"/>
        <v>0</v>
      </c>
      <c r="N17" s="64">
        <v>100.8</v>
      </c>
      <c r="O17" s="50">
        <f t="shared" si="5"/>
        <v>0</v>
      </c>
      <c r="P17" s="39">
        <v>100.8</v>
      </c>
      <c r="Q17" s="11">
        <f t="shared" si="0"/>
        <v>30.799999999999997</v>
      </c>
      <c r="R17" s="24">
        <v>70</v>
      </c>
      <c r="S17" s="53">
        <v>100.8</v>
      </c>
      <c r="T17" s="51">
        <f t="shared" si="3"/>
        <v>0</v>
      </c>
      <c r="U17" s="64">
        <v>100.8</v>
      </c>
      <c r="V17" s="50">
        <f t="shared" si="6"/>
        <v>0</v>
      </c>
      <c r="W17" s="39">
        <v>100.8</v>
      </c>
      <c r="X17" s="39">
        <v>100.8</v>
      </c>
      <c r="Y17" s="53">
        <v>100.8</v>
      </c>
      <c r="Z17" s="71">
        <f t="shared" si="4"/>
        <v>0</v>
      </c>
      <c r="AA17" s="64">
        <v>100.8</v>
      </c>
      <c r="AB17" s="50">
        <f t="shared" si="7"/>
        <v>0</v>
      </c>
      <c r="AC17" s="13" t="s">
        <v>65</v>
      </c>
      <c r="AD17" s="13" t="s">
        <v>66</v>
      </c>
      <c r="AE17" s="48"/>
    </row>
    <row r="18" spans="1:31" ht="52.5" customHeight="1" x14ac:dyDescent="0.2">
      <c r="A18" s="20" t="s">
        <v>16</v>
      </c>
      <c r="B18" s="4">
        <v>13900</v>
      </c>
      <c r="C18" s="4">
        <v>15270.95</v>
      </c>
      <c r="D18" s="4">
        <v>13377.4</v>
      </c>
      <c r="E18" s="4">
        <v>17468.099999999999</v>
      </c>
      <c r="F18" s="5">
        <f t="shared" si="9"/>
        <v>1.3057918579096086</v>
      </c>
      <c r="G18" s="3">
        <f t="shared" si="10"/>
        <v>1.143877754822064</v>
      </c>
      <c r="H18" s="24">
        <v>16000</v>
      </c>
      <c r="I18" s="43">
        <f>16000+2870</f>
        <v>18870</v>
      </c>
      <c r="J18" s="11">
        <f t="shared" si="1"/>
        <v>2870</v>
      </c>
      <c r="K18" s="24">
        <v>16000</v>
      </c>
      <c r="L18" s="52">
        <v>16338</v>
      </c>
      <c r="M18" s="50">
        <f t="shared" si="2"/>
        <v>-2532</v>
      </c>
      <c r="N18" s="63">
        <v>16338</v>
      </c>
      <c r="O18" s="50">
        <f t="shared" si="5"/>
        <v>0</v>
      </c>
      <c r="P18" s="43">
        <v>16000</v>
      </c>
      <c r="Q18" s="11">
        <f t="shared" si="0"/>
        <v>0</v>
      </c>
      <c r="R18" s="24">
        <v>16000</v>
      </c>
      <c r="S18" s="52">
        <f>16000+2970</f>
        <v>18970</v>
      </c>
      <c r="T18" s="50">
        <f t="shared" si="3"/>
        <v>2970</v>
      </c>
      <c r="U18" s="63">
        <v>16000</v>
      </c>
      <c r="V18" s="50">
        <f t="shared" si="6"/>
        <v>-2970</v>
      </c>
      <c r="W18" s="43">
        <v>16000</v>
      </c>
      <c r="X18" s="43">
        <v>16000</v>
      </c>
      <c r="Y18" s="52">
        <f>16000+2970</f>
        <v>18970</v>
      </c>
      <c r="Z18" s="70">
        <f t="shared" si="4"/>
        <v>2970</v>
      </c>
      <c r="AA18" s="63">
        <v>16000</v>
      </c>
      <c r="AB18" s="50">
        <f t="shared" si="7"/>
        <v>-2970</v>
      </c>
      <c r="AC18" s="13" t="s">
        <v>80</v>
      </c>
      <c r="AD18" s="13"/>
      <c r="AE18" s="48"/>
    </row>
    <row r="19" spans="1:31" ht="62.25" customHeight="1" x14ac:dyDescent="0.2">
      <c r="A19" s="20" t="s">
        <v>17</v>
      </c>
      <c r="B19" s="4">
        <v>800</v>
      </c>
      <c r="C19" s="4">
        <v>401.58</v>
      </c>
      <c r="D19" s="4">
        <v>1800</v>
      </c>
      <c r="E19" s="4">
        <v>599.66</v>
      </c>
      <c r="F19" s="5">
        <f t="shared" si="9"/>
        <v>0.33314444444444441</v>
      </c>
      <c r="G19" s="3">
        <f t="shared" si="10"/>
        <v>1.4932516559589621</v>
      </c>
      <c r="H19" s="24">
        <v>570.5</v>
      </c>
      <c r="I19" s="43">
        <f>570.5+30</f>
        <v>600.5</v>
      </c>
      <c r="J19" s="11">
        <f t="shared" si="1"/>
        <v>30</v>
      </c>
      <c r="K19" s="24">
        <v>627.54</v>
      </c>
      <c r="L19" s="52">
        <v>536</v>
      </c>
      <c r="M19" s="50">
        <f t="shared" si="2"/>
        <v>-64.5</v>
      </c>
      <c r="N19" s="63">
        <v>536</v>
      </c>
      <c r="O19" s="50">
        <f t="shared" si="5"/>
        <v>0</v>
      </c>
      <c r="P19" s="43">
        <v>627.54</v>
      </c>
      <c r="Q19" s="11">
        <f t="shared" si="0"/>
        <v>0</v>
      </c>
      <c r="R19" s="24">
        <v>690.3</v>
      </c>
      <c r="S19" s="52">
        <f>627.54+30</f>
        <v>657.54</v>
      </c>
      <c r="T19" s="50">
        <f t="shared" si="3"/>
        <v>30</v>
      </c>
      <c r="U19" s="63">
        <v>627.54</v>
      </c>
      <c r="V19" s="50">
        <f t="shared" si="6"/>
        <v>-30</v>
      </c>
      <c r="W19" s="43">
        <v>690.3</v>
      </c>
      <c r="X19" s="43">
        <v>690.3</v>
      </c>
      <c r="Y19" s="52">
        <f>690.3-30</f>
        <v>660.3</v>
      </c>
      <c r="Z19" s="70">
        <f t="shared" si="4"/>
        <v>-30</v>
      </c>
      <c r="AA19" s="63">
        <v>690.3</v>
      </c>
      <c r="AB19" s="50">
        <f t="shared" si="7"/>
        <v>30</v>
      </c>
      <c r="AC19" s="13" t="s">
        <v>81</v>
      </c>
      <c r="AD19" s="13"/>
      <c r="AE19" s="48"/>
    </row>
    <row r="20" spans="1:31" ht="64.5" customHeight="1" x14ac:dyDescent="0.2">
      <c r="A20" s="20" t="s">
        <v>19</v>
      </c>
      <c r="B20" s="4">
        <v>2600</v>
      </c>
      <c r="C20" s="4">
        <v>2864.06</v>
      </c>
      <c r="D20" s="4">
        <v>3600</v>
      </c>
      <c r="E20" s="4">
        <v>3004.6</v>
      </c>
      <c r="F20" s="5">
        <f t="shared" si="9"/>
        <v>0.83461111111111108</v>
      </c>
      <c r="G20" s="3">
        <f t="shared" si="10"/>
        <v>1.0490702010432742</v>
      </c>
      <c r="H20" s="24">
        <v>2900</v>
      </c>
      <c r="I20" s="43">
        <v>2492</v>
      </c>
      <c r="J20" s="11">
        <f t="shared" si="1"/>
        <v>-408</v>
      </c>
      <c r="K20" s="24">
        <v>2900</v>
      </c>
      <c r="L20" s="52">
        <v>2492</v>
      </c>
      <c r="M20" s="50">
        <f t="shared" si="2"/>
        <v>0</v>
      </c>
      <c r="N20" s="63">
        <v>2492</v>
      </c>
      <c r="O20" s="50">
        <f t="shared" si="5"/>
        <v>0</v>
      </c>
      <c r="P20" s="43">
        <v>2492</v>
      </c>
      <c r="Q20" s="11">
        <f t="shared" si="0"/>
        <v>-408</v>
      </c>
      <c r="R20" s="24">
        <v>2900</v>
      </c>
      <c r="S20" s="52">
        <v>2492</v>
      </c>
      <c r="T20" s="50">
        <f t="shared" si="3"/>
        <v>0</v>
      </c>
      <c r="U20" s="63">
        <v>2492</v>
      </c>
      <c r="V20" s="50">
        <f t="shared" si="6"/>
        <v>0</v>
      </c>
      <c r="W20" s="43">
        <v>2492</v>
      </c>
      <c r="X20" s="43">
        <v>2492</v>
      </c>
      <c r="Y20" s="52">
        <v>2492</v>
      </c>
      <c r="Z20" s="70">
        <f t="shared" si="4"/>
        <v>0</v>
      </c>
      <c r="AA20" s="63">
        <v>2492</v>
      </c>
      <c r="AB20" s="50">
        <f t="shared" si="7"/>
        <v>0</v>
      </c>
      <c r="AC20" s="13" t="s">
        <v>62</v>
      </c>
      <c r="AD20" s="32"/>
      <c r="AE20" s="48"/>
    </row>
    <row r="21" spans="1:31" ht="30" customHeight="1" x14ac:dyDescent="0.2">
      <c r="A21" s="20" t="s">
        <v>20</v>
      </c>
      <c r="B21" s="4">
        <v>4400</v>
      </c>
      <c r="C21" s="4">
        <v>4178.4399999999996</v>
      </c>
      <c r="D21" s="4">
        <v>1200</v>
      </c>
      <c r="E21" s="4">
        <v>1242</v>
      </c>
      <c r="F21" s="5">
        <f t="shared" si="9"/>
        <v>1.0349999999999999</v>
      </c>
      <c r="G21" s="3">
        <f t="shared" si="10"/>
        <v>0.2972401183216703</v>
      </c>
      <c r="H21" s="24">
        <v>1200</v>
      </c>
      <c r="I21" s="43">
        <v>7982.4</v>
      </c>
      <c r="J21" s="11">
        <f t="shared" si="1"/>
        <v>6782.4</v>
      </c>
      <c r="K21" s="24">
        <v>1200</v>
      </c>
      <c r="L21" s="52">
        <v>7982.4</v>
      </c>
      <c r="M21" s="50">
        <f t="shared" si="2"/>
        <v>0</v>
      </c>
      <c r="N21" s="63">
        <v>7982.4</v>
      </c>
      <c r="O21" s="50">
        <f t="shared" si="5"/>
        <v>0</v>
      </c>
      <c r="P21" s="43">
        <v>8301.7000000000007</v>
      </c>
      <c r="Q21" s="11">
        <f t="shared" si="0"/>
        <v>7101.7000000000007</v>
      </c>
      <c r="R21" s="24">
        <v>8301.7000000000007</v>
      </c>
      <c r="S21" s="52">
        <v>8301.7000000000007</v>
      </c>
      <c r="T21" s="50">
        <f t="shared" si="3"/>
        <v>0</v>
      </c>
      <c r="U21" s="63">
        <v>8301.7000000000007</v>
      </c>
      <c r="V21" s="50">
        <f t="shared" si="6"/>
        <v>0</v>
      </c>
      <c r="W21" s="43">
        <v>3072.38</v>
      </c>
      <c r="X21" s="43">
        <v>3072.38</v>
      </c>
      <c r="Y21" s="52">
        <v>8301.7000000000007</v>
      </c>
      <c r="Z21" s="70">
        <f t="shared" si="4"/>
        <v>5229.3200000000006</v>
      </c>
      <c r="AA21" s="63">
        <v>8301.7000000000007</v>
      </c>
      <c r="AB21" s="50">
        <f t="shared" si="7"/>
        <v>0</v>
      </c>
      <c r="AC21" s="13" t="s">
        <v>79</v>
      </c>
      <c r="AD21" s="13"/>
      <c r="AE21" s="48"/>
    </row>
    <row r="22" spans="1:31" ht="30" customHeight="1" x14ac:dyDescent="0.2">
      <c r="A22" s="20" t="s">
        <v>21</v>
      </c>
      <c r="B22" s="4">
        <v>25000</v>
      </c>
      <c r="C22" s="4">
        <v>27223</v>
      </c>
      <c r="D22" s="4">
        <v>25000</v>
      </c>
      <c r="E22" s="4">
        <v>23151.77</v>
      </c>
      <c r="F22" s="5">
        <f t="shared" si="9"/>
        <v>0.92607079999999997</v>
      </c>
      <c r="G22" s="3">
        <f t="shared" si="10"/>
        <v>0.85044888513389416</v>
      </c>
      <c r="H22" s="6">
        <v>25000</v>
      </c>
      <c r="I22" s="39">
        <v>25000</v>
      </c>
      <c r="J22" s="11">
        <f t="shared" si="1"/>
        <v>0</v>
      </c>
      <c r="K22" s="6">
        <v>25000</v>
      </c>
      <c r="L22" s="53">
        <v>15709.893</v>
      </c>
      <c r="M22" s="51">
        <f t="shared" si="2"/>
        <v>-9290.107</v>
      </c>
      <c r="N22" s="64">
        <v>15709.893</v>
      </c>
      <c r="O22" s="50">
        <f t="shared" si="5"/>
        <v>0</v>
      </c>
      <c r="P22" s="39">
        <v>25000</v>
      </c>
      <c r="Q22" s="11">
        <f t="shared" si="0"/>
        <v>0</v>
      </c>
      <c r="R22" s="6">
        <v>25000</v>
      </c>
      <c r="S22" s="53">
        <v>25000</v>
      </c>
      <c r="T22" s="51">
        <f t="shared" si="3"/>
        <v>0</v>
      </c>
      <c r="U22" s="64">
        <v>23164.06</v>
      </c>
      <c r="V22" s="50">
        <f t="shared" si="6"/>
        <v>-1835.9399999999987</v>
      </c>
      <c r="W22" s="39">
        <v>25000</v>
      </c>
      <c r="X22" s="39">
        <v>25000</v>
      </c>
      <c r="Y22" s="53">
        <v>25000</v>
      </c>
      <c r="Z22" s="71">
        <f t="shared" si="4"/>
        <v>0</v>
      </c>
      <c r="AA22" s="64">
        <v>23164.06</v>
      </c>
      <c r="AB22" s="50">
        <f t="shared" si="7"/>
        <v>-1835.9399999999987</v>
      </c>
      <c r="AC22" s="12" t="s">
        <v>39</v>
      </c>
      <c r="AD22" s="13" t="s">
        <v>68</v>
      </c>
    </row>
    <row r="23" spans="1:31" ht="30" customHeight="1" x14ac:dyDescent="0.2">
      <c r="A23" s="20" t="s">
        <v>22</v>
      </c>
      <c r="B23" s="4">
        <f>B24+B25</f>
        <v>3857</v>
      </c>
      <c r="C23" s="4">
        <f t="shared" ref="C23:E23" si="15">C24+C25</f>
        <v>4266.6499999999996</v>
      </c>
      <c r="D23" s="4">
        <f t="shared" si="15"/>
        <v>5357</v>
      </c>
      <c r="E23" s="4">
        <f t="shared" si="15"/>
        <v>5097.18</v>
      </c>
      <c r="F23" s="5">
        <f t="shared" si="9"/>
        <v>0.9514989733059549</v>
      </c>
      <c r="G23" s="3">
        <f t="shared" si="10"/>
        <v>1.1946562291258951</v>
      </c>
      <c r="H23" s="6">
        <f t="shared" ref="H23:Y23" si="16">H24+H25</f>
        <v>5392.33</v>
      </c>
      <c r="I23" s="39">
        <f t="shared" si="16"/>
        <v>5392.33</v>
      </c>
      <c r="J23" s="11">
        <f t="shared" si="1"/>
        <v>0</v>
      </c>
      <c r="K23" s="6">
        <f t="shared" ref="K23" si="17">K24+K25</f>
        <v>5431.56</v>
      </c>
      <c r="L23" s="53">
        <f>L24+L25</f>
        <v>4142.33</v>
      </c>
      <c r="M23" s="51">
        <f t="shared" si="2"/>
        <v>-1250</v>
      </c>
      <c r="N23" s="64">
        <f>N24+N25</f>
        <v>4142.33</v>
      </c>
      <c r="O23" s="50">
        <f t="shared" si="5"/>
        <v>0</v>
      </c>
      <c r="P23" s="39">
        <f t="shared" si="16"/>
        <v>5431.56</v>
      </c>
      <c r="Q23" s="11">
        <f t="shared" si="0"/>
        <v>0</v>
      </c>
      <c r="R23" s="6">
        <f t="shared" si="16"/>
        <v>5474.72</v>
      </c>
      <c r="S23" s="53">
        <f t="shared" si="16"/>
        <v>5431.56</v>
      </c>
      <c r="T23" s="51">
        <f t="shared" si="3"/>
        <v>0</v>
      </c>
      <c r="U23" s="64">
        <f t="shared" ref="U23" si="18">U24+U25</f>
        <v>5431.56</v>
      </c>
      <c r="V23" s="50">
        <f t="shared" si="6"/>
        <v>0</v>
      </c>
      <c r="W23" s="39">
        <f t="shared" si="16"/>
        <v>5474.72</v>
      </c>
      <c r="X23" s="39">
        <f t="shared" si="16"/>
        <v>5474.72</v>
      </c>
      <c r="Y23" s="53">
        <f t="shared" si="16"/>
        <v>5474.72</v>
      </c>
      <c r="Z23" s="71">
        <f t="shared" si="4"/>
        <v>0</v>
      </c>
      <c r="AA23" s="64">
        <f t="shared" ref="AA23" si="19">AA24+AA25</f>
        <v>5474.72</v>
      </c>
      <c r="AB23" s="50">
        <f t="shared" si="7"/>
        <v>0</v>
      </c>
      <c r="AC23" s="23"/>
      <c r="AD23" s="23"/>
    </row>
    <row r="24" spans="1:31" ht="63" customHeight="1" x14ac:dyDescent="0.2">
      <c r="A24" s="20" t="s">
        <v>23</v>
      </c>
      <c r="B24" s="4">
        <v>357</v>
      </c>
      <c r="C24" s="4">
        <v>618.19000000000005</v>
      </c>
      <c r="D24" s="4">
        <v>357</v>
      </c>
      <c r="E24" s="4">
        <v>1845.57</v>
      </c>
      <c r="F24" s="5">
        <f t="shared" si="9"/>
        <v>5.1696638655462186</v>
      </c>
      <c r="G24" s="3">
        <f t="shared" si="10"/>
        <v>2.985441369158349</v>
      </c>
      <c r="H24" s="24">
        <v>392.33</v>
      </c>
      <c r="I24" s="43">
        <v>392.33</v>
      </c>
      <c r="J24" s="11">
        <f t="shared" si="1"/>
        <v>0</v>
      </c>
      <c r="K24" s="24">
        <v>431.56</v>
      </c>
      <c r="L24" s="52">
        <v>392.33</v>
      </c>
      <c r="M24" s="50">
        <f t="shared" si="2"/>
        <v>0</v>
      </c>
      <c r="N24" s="63">
        <v>392.33</v>
      </c>
      <c r="O24" s="50">
        <f t="shared" si="5"/>
        <v>0</v>
      </c>
      <c r="P24" s="43">
        <v>431.56</v>
      </c>
      <c r="Q24" s="11">
        <f t="shared" si="0"/>
        <v>0</v>
      </c>
      <c r="R24" s="24">
        <v>474.72</v>
      </c>
      <c r="S24" s="52">
        <v>431.56</v>
      </c>
      <c r="T24" s="50">
        <f t="shared" si="3"/>
        <v>0</v>
      </c>
      <c r="U24" s="63">
        <v>431.56</v>
      </c>
      <c r="V24" s="50">
        <f t="shared" si="6"/>
        <v>0</v>
      </c>
      <c r="W24" s="43">
        <v>474.72</v>
      </c>
      <c r="X24" s="43">
        <v>474.72</v>
      </c>
      <c r="Y24" s="52">
        <v>474.72</v>
      </c>
      <c r="Z24" s="70">
        <f t="shared" si="4"/>
        <v>0</v>
      </c>
      <c r="AA24" s="63">
        <v>474.72</v>
      </c>
      <c r="AB24" s="50">
        <f t="shared" si="7"/>
        <v>0</v>
      </c>
      <c r="AC24" s="13" t="s">
        <v>41</v>
      </c>
      <c r="AD24" s="13"/>
    </row>
    <row r="25" spans="1:31" ht="25.5" customHeight="1" x14ac:dyDescent="0.2">
      <c r="A25" s="20" t="s">
        <v>24</v>
      </c>
      <c r="B25" s="4">
        <v>3500</v>
      </c>
      <c r="C25" s="4">
        <v>3648.46</v>
      </c>
      <c r="D25" s="4">
        <v>5000</v>
      </c>
      <c r="E25" s="4">
        <v>3251.61</v>
      </c>
      <c r="F25" s="5">
        <f t="shared" si="9"/>
        <v>0.65032200000000007</v>
      </c>
      <c r="G25" s="3">
        <f t="shared" si="10"/>
        <v>0.89122807979257002</v>
      </c>
      <c r="H25" s="24">
        <v>5000</v>
      </c>
      <c r="I25" s="43">
        <v>5000</v>
      </c>
      <c r="J25" s="11">
        <f t="shared" si="1"/>
        <v>0</v>
      </c>
      <c r="K25" s="24">
        <v>5000</v>
      </c>
      <c r="L25" s="52">
        <v>3750</v>
      </c>
      <c r="M25" s="50">
        <f t="shared" si="2"/>
        <v>-1250</v>
      </c>
      <c r="N25" s="63">
        <v>3750</v>
      </c>
      <c r="O25" s="50">
        <f t="shared" si="5"/>
        <v>0</v>
      </c>
      <c r="P25" s="43">
        <v>5000</v>
      </c>
      <c r="Q25" s="11">
        <f t="shared" si="0"/>
        <v>0</v>
      </c>
      <c r="R25" s="24">
        <v>5000</v>
      </c>
      <c r="S25" s="52">
        <v>5000</v>
      </c>
      <c r="T25" s="50">
        <f t="shared" si="3"/>
        <v>0</v>
      </c>
      <c r="U25" s="63">
        <v>5000</v>
      </c>
      <c r="V25" s="50">
        <f t="shared" si="6"/>
        <v>0</v>
      </c>
      <c r="W25" s="43">
        <v>5000</v>
      </c>
      <c r="X25" s="43">
        <v>5000</v>
      </c>
      <c r="Y25" s="52">
        <v>5000</v>
      </c>
      <c r="Z25" s="70">
        <f t="shared" si="4"/>
        <v>0</v>
      </c>
      <c r="AA25" s="63">
        <v>5000</v>
      </c>
      <c r="AB25" s="50">
        <f t="shared" si="7"/>
        <v>0</v>
      </c>
      <c r="AC25" s="13" t="s">
        <v>40</v>
      </c>
      <c r="AD25" s="13"/>
    </row>
    <row r="26" spans="1:31" ht="17.100000000000001" customHeight="1" x14ac:dyDescent="0.2">
      <c r="A26" s="20" t="s">
        <v>25</v>
      </c>
      <c r="B26" s="4">
        <v>4000</v>
      </c>
      <c r="C26" s="4">
        <v>2167.96</v>
      </c>
      <c r="D26" s="4">
        <v>2000</v>
      </c>
      <c r="E26" s="4">
        <v>1728.14</v>
      </c>
      <c r="F26" s="5">
        <f t="shared" si="9"/>
        <v>0.86407</v>
      </c>
      <c r="G26" s="3">
        <f t="shared" si="10"/>
        <v>0.79712725327035561</v>
      </c>
      <c r="H26" s="24">
        <v>1500</v>
      </c>
      <c r="I26" s="43">
        <v>2552.06</v>
      </c>
      <c r="J26" s="11">
        <f t="shared" si="1"/>
        <v>1052.06</v>
      </c>
      <c r="K26" s="24">
        <v>1500</v>
      </c>
      <c r="L26" s="52">
        <v>2552.06</v>
      </c>
      <c r="M26" s="50">
        <f t="shared" si="2"/>
        <v>0</v>
      </c>
      <c r="N26" s="63">
        <v>2552.06</v>
      </c>
      <c r="O26" s="50">
        <f t="shared" si="5"/>
        <v>0</v>
      </c>
      <c r="P26" s="43">
        <v>2552.06</v>
      </c>
      <c r="Q26" s="11">
        <f t="shared" si="0"/>
        <v>1052.06</v>
      </c>
      <c r="R26" s="24">
        <v>1500</v>
      </c>
      <c r="S26" s="52">
        <v>2552.06</v>
      </c>
      <c r="T26" s="50">
        <f t="shared" si="3"/>
        <v>0</v>
      </c>
      <c r="U26" s="63">
        <v>2552.06</v>
      </c>
      <c r="V26" s="50">
        <f t="shared" si="6"/>
        <v>0</v>
      </c>
      <c r="W26" s="43">
        <v>2552.06</v>
      </c>
      <c r="X26" s="43">
        <v>2552.06</v>
      </c>
      <c r="Y26" s="52">
        <v>2552.06</v>
      </c>
      <c r="Z26" s="70">
        <f t="shared" si="4"/>
        <v>0</v>
      </c>
      <c r="AA26" s="63">
        <v>2552.06</v>
      </c>
      <c r="AB26" s="50">
        <f t="shared" si="7"/>
        <v>0</v>
      </c>
      <c r="AC26" s="13" t="s">
        <v>57</v>
      </c>
      <c r="AD26" s="13"/>
    </row>
    <row r="27" spans="1:31" ht="17.100000000000001" customHeight="1" x14ac:dyDescent="0.2">
      <c r="A27" s="20" t="s">
        <v>26</v>
      </c>
      <c r="B27" s="4">
        <v>225</v>
      </c>
      <c r="C27" s="4">
        <v>249.29</v>
      </c>
      <c r="D27" s="4">
        <v>226</v>
      </c>
      <c r="E27" s="4">
        <v>496.65</v>
      </c>
      <c r="F27" s="5">
        <f t="shared" si="9"/>
        <v>2.197566371681416</v>
      </c>
      <c r="G27" s="3">
        <f>E27/C27</f>
        <v>1.9922580127562277</v>
      </c>
      <c r="H27" s="24">
        <v>348</v>
      </c>
      <c r="I27" s="43">
        <v>323.14</v>
      </c>
      <c r="J27" s="11">
        <f t="shared" si="1"/>
        <v>-24.860000000000014</v>
      </c>
      <c r="K27" s="24">
        <v>348</v>
      </c>
      <c r="L27" s="52">
        <v>323.14</v>
      </c>
      <c r="M27" s="50">
        <f t="shared" si="2"/>
        <v>0</v>
      </c>
      <c r="N27" s="63">
        <v>323.14</v>
      </c>
      <c r="O27" s="50">
        <f t="shared" si="5"/>
        <v>0</v>
      </c>
      <c r="P27" s="43">
        <v>323.14</v>
      </c>
      <c r="Q27" s="11">
        <f t="shared" si="0"/>
        <v>-24.860000000000014</v>
      </c>
      <c r="R27" s="24">
        <v>348</v>
      </c>
      <c r="S27" s="52">
        <v>323.14</v>
      </c>
      <c r="T27" s="50">
        <f t="shared" si="3"/>
        <v>0</v>
      </c>
      <c r="U27" s="63">
        <v>323.14</v>
      </c>
      <c r="V27" s="50">
        <f t="shared" si="6"/>
        <v>0</v>
      </c>
      <c r="W27" s="43">
        <v>323.14</v>
      </c>
      <c r="X27" s="43">
        <v>323.14</v>
      </c>
      <c r="Y27" s="52">
        <v>323.14</v>
      </c>
      <c r="Z27" s="70">
        <f t="shared" si="4"/>
        <v>0</v>
      </c>
      <c r="AA27" s="63">
        <v>323.14</v>
      </c>
      <c r="AB27" s="50">
        <f t="shared" si="7"/>
        <v>0</v>
      </c>
      <c r="AC27" s="13" t="s">
        <v>64</v>
      </c>
      <c r="AD27" s="13"/>
    </row>
    <row r="28" spans="1:31" s="29" customFormat="1" ht="18.75" customHeight="1" x14ac:dyDescent="0.2">
      <c r="A28" s="21" t="s">
        <v>28</v>
      </c>
      <c r="B28" s="1" t="e">
        <f>B7+B22</f>
        <v>#REF!</v>
      </c>
      <c r="C28" s="1" t="e">
        <f>C7+C22</f>
        <v>#REF!</v>
      </c>
      <c r="D28" s="1" t="e">
        <f>D7+D22</f>
        <v>#REF!</v>
      </c>
      <c r="E28" s="1" t="e">
        <f>E7+E22</f>
        <v>#REF!</v>
      </c>
      <c r="F28" s="9" t="e">
        <f t="shared" si="9"/>
        <v>#REF!</v>
      </c>
      <c r="G28" s="2" t="e">
        <f t="shared" si="10"/>
        <v>#REF!</v>
      </c>
      <c r="H28" s="1" t="e">
        <f>H7+H22</f>
        <v>#REF!</v>
      </c>
      <c r="I28" s="11" t="e">
        <f>I7+I22</f>
        <v>#REF!</v>
      </c>
      <c r="J28" s="11" t="e">
        <f t="shared" si="1"/>
        <v>#REF!</v>
      </c>
      <c r="K28" s="11">
        <f>K7+K22</f>
        <v>316262</v>
      </c>
      <c r="L28" s="11">
        <f>L7+L22</f>
        <v>294797.68300000002</v>
      </c>
      <c r="M28" s="11" t="e">
        <f>L28-I28</f>
        <v>#REF!</v>
      </c>
      <c r="N28" s="11">
        <f>N7+N22</f>
        <v>294797.68300000002</v>
      </c>
      <c r="O28" s="66">
        <f t="shared" si="5"/>
        <v>0</v>
      </c>
      <c r="P28" s="11" t="e">
        <f>P7+P22</f>
        <v>#REF!</v>
      </c>
      <c r="Q28" s="11" t="e">
        <f t="shared" si="0"/>
        <v>#REF!</v>
      </c>
      <c r="R28" s="11">
        <f>R7+R22</f>
        <v>316262</v>
      </c>
      <c r="S28" s="11">
        <f>S7+S22</f>
        <v>304949.54000000004</v>
      </c>
      <c r="T28" s="11" t="e">
        <f t="shared" si="3"/>
        <v>#REF!</v>
      </c>
      <c r="U28" s="11">
        <f>U7+U22</f>
        <v>300113.60000000003</v>
      </c>
      <c r="V28" s="66">
        <f t="shared" si="6"/>
        <v>-4835.9400000000023</v>
      </c>
      <c r="W28" s="11" t="e">
        <f>W7+W22</f>
        <v>#REF!</v>
      </c>
      <c r="X28" s="11" t="e">
        <f>X7+X22</f>
        <v>#REF!</v>
      </c>
      <c r="Y28" s="11">
        <f>Y7+Y22</f>
        <v>305010.44</v>
      </c>
      <c r="Z28" s="69" t="e">
        <f t="shared" si="4"/>
        <v>#REF!</v>
      </c>
      <c r="AA28" s="11">
        <f>AA7+AA22</f>
        <v>300234.5</v>
      </c>
      <c r="AB28" s="66">
        <f t="shared" si="7"/>
        <v>-4775.9400000000023</v>
      </c>
      <c r="AC28" s="14"/>
      <c r="AD28" s="14"/>
    </row>
    <row r="31" spans="1:31" ht="15" x14ac:dyDescent="0.2">
      <c r="C31" s="30" t="s">
        <v>47</v>
      </c>
      <c r="D31" s="15" t="s">
        <v>46</v>
      </c>
      <c r="E31" s="30"/>
    </row>
    <row r="35" spans="3:5" ht="15" x14ac:dyDescent="0.2">
      <c r="C35" s="30"/>
      <c r="D35" s="30" t="s">
        <v>46</v>
      </c>
      <c r="E35" s="30"/>
    </row>
    <row r="36" spans="3:5" ht="15" x14ac:dyDescent="0.2">
      <c r="C36" s="30"/>
      <c r="D36" s="30"/>
      <c r="E36" s="30"/>
    </row>
    <row r="37" spans="3:5" ht="15" x14ac:dyDescent="0.2">
      <c r="C37" s="30"/>
      <c r="D37" s="30"/>
      <c r="E37" s="30"/>
    </row>
    <row r="38" spans="3:5" ht="15" x14ac:dyDescent="0.2">
      <c r="C38" s="30" t="s">
        <v>48</v>
      </c>
      <c r="D38" s="30" t="s">
        <v>46</v>
      </c>
      <c r="E38" s="30"/>
    </row>
    <row r="39" spans="3:5" ht="15" x14ac:dyDescent="0.2">
      <c r="C39" s="30"/>
      <c r="D39" s="30"/>
      <c r="E39" s="30"/>
    </row>
    <row r="40" spans="3:5" ht="15.75" x14ac:dyDescent="0.2">
      <c r="C40" s="31" t="s">
        <v>49</v>
      </c>
      <c r="D40" s="30"/>
      <c r="E40" s="30"/>
    </row>
    <row r="41" spans="3:5" ht="15" x14ac:dyDescent="0.2">
      <c r="C41" s="30"/>
      <c r="D41" s="30"/>
      <c r="E41" s="30"/>
    </row>
  </sheetData>
  <mergeCells count="2">
    <mergeCell ref="A3:F3"/>
    <mergeCell ref="A2:A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Доходы-2022 (8мес)</vt:lpstr>
      <vt:lpstr>Доходы-2025 (9мес)</vt:lpstr>
      <vt:lpstr>Доходы-2020 30.04</vt:lpstr>
      <vt:lpstr>Доходы-2020 23.06</vt:lpstr>
      <vt:lpstr>Доходы-2020 27.07</vt:lpstr>
      <vt:lpstr>'Доходы-2020 23.06'!Область_печати</vt:lpstr>
      <vt:lpstr>'Доходы-2025 (9мес)'!Область_печати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Наталья Анатольевна</dc:creator>
  <cp:lastModifiedBy>Ярополова Евгения Юрьевна</cp:lastModifiedBy>
  <cp:lastPrinted>2024-10-16T07:31:11Z</cp:lastPrinted>
  <dcterms:created xsi:type="dcterms:W3CDTF">2017-11-13T10:57:43Z</dcterms:created>
  <dcterms:modified xsi:type="dcterms:W3CDTF">2024-10-30T12:46:38Z</dcterms:modified>
</cp:coreProperties>
</file>