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mitrieva-oa\Desktop\КМ по ЖЕСТИ НОВЫЙ\КМ УТВЕРЖДЕНИЕ\В учреждения\"/>
    </mc:Choice>
  </mc:AlternateContent>
  <bookViews>
    <workbookView xWindow="360" yWindow="1080" windowWidth="15480" windowHeight="8490"/>
  </bookViews>
  <sheets>
    <sheet name="Расшифровка_7-РКМ17" sheetId="5" r:id="rId1"/>
  </sheets>
  <definedNames>
    <definedName name="_xlnm.Print_Titles" localSheetId="0">'Расшифровка_7-РКМ17'!$3:$6</definedName>
    <definedName name="_xlnm.Print_Area" localSheetId="0">'Расшифровка_7-РКМ17'!$A$1:$F$120</definedName>
  </definedNames>
  <calcPr calcId="162913"/>
</workbook>
</file>

<file path=xl/calcChain.xml><?xml version="1.0" encoding="utf-8"?>
<calcChain xmlns="http://schemas.openxmlformats.org/spreadsheetml/2006/main">
  <c r="F114" i="5" l="1"/>
  <c r="F113" i="5" s="1"/>
  <c r="F112" i="5" s="1"/>
  <c r="E114" i="5"/>
  <c r="E113" i="5" s="1"/>
  <c r="E112" i="5" s="1"/>
  <c r="F116" i="5"/>
  <c r="E116" i="5"/>
  <c r="F110" i="5"/>
  <c r="F109" i="5" s="1"/>
  <c r="F108" i="5" s="1"/>
  <c r="E110" i="5"/>
  <c r="E109" i="5" s="1"/>
  <c r="E108" i="5" s="1"/>
  <c r="F107" i="5"/>
  <c r="E107" i="5"/>
  <c r="E106" i="5" s="1"/>
  <c r="F106" i="5"/>
  <c r="F105" i="5"/>
  <c r="F104" i="5" s="1"/>
  <c r="F103" i="5" s="1"/>
  <c r="F102" i="5" s="1"/>
  <c r="E105" i="5"/>
  <c r="E104" i="5" s="1"/>
  <c r="E99" i="5"/>
  <c r="E98" i="5" s="1"/>
  <c r="E97" i="5" s="1"/>
  <c r="F100" i="5"/>
  <c r="F99" i="5" s="1"/>
  <c r="F98" i="5" s="1"/>
  <c r="F97" i="5" s="1"/>
  <c r="F95" i="5"/>
  <c r="F94" i="5" s="1"/>
  <c r="F93" i="5" s="1"/>
  <c r="E95" i="5"/>
  <c r="E94" i="5" s="1"/>
  <c r="E93" i="5" s="1"/>
  <c r="F92" i="5"/>
  <c r="F91" i="5" s="1"/>
  <c r="E92" i="5"/>
  <c r="E91" i="5" s="1"/>
  <c r="F90" i="5"/>
  <c r="F89" i="5" s="1"/>
  <c r="F88" i="5" s="1"/>
  <c r="E90" i="5"/>
  <c r="E89" i="5" s="1"/>
  <c r="F86" i="5"/>
  <c r="E86" i="5"/>
  <c r="F85" i="5"/>
  <c r="E85" i="5"/>
  <c r="F84" i="5"/>
  <c r="E84" i="5"/>
  <c r="F83" i="5"/>
  <c r="E83" i="5"/>
  <c r="F82" i="5"/>
  <c r="E82" i="5"/>
  <c r="F81" i="5"/>
  <c r="E81" i="5"/>
  <c r="F80" i="5"/>
  <c r="E80" i="5"/>
  <c r="F79" i="5"/>
  <c r="E79" i="5"/>
  <c r="F78" i="5"/>
  <c r="E78" i="5"/>
  <c r="F77" i="5"/>
  <c r="E77" i="5"/>
  <c r="F76" i="5"/>
  <c r="E76" i="5"/>
  <c r="F75" i="5"/>
  <c r="E75" i="5"/>
  <c r="F74" i="5"/>
  <c r="E74" i="5"/>
  <c r="F73" i="5"/>
  <c r="E73" i="5"/>
  <c r="F72" i="5"/>
  <c r="E72" i="5"/>
  <c r="F71" i="5"/>
  <c r="F69" i="5" s="1"/>
  <c r="F68" i="5" s="1"/>
  <c r="F67" i="5" s="1"/>
  <c r="E71" i="5"/>
  <c r="E60" i="5"/>
  <c r="F65" i="5"/>
  <c r="E65" i="5"/>
  <c r="F62" i="5"/>
  <c r="E62" i="5"/>
  <c r="F56" i="5"/>
  <c r="E56" i="5"/>
  <c r="F55" i="5"/>
  <c r="E55" i="5"/>
  <c r="F53" i="5"/>
  <c r="F52" i="5" s="1"/>
  <c r="E53" i="5"/>
  <c r="E52" i="5" s="1"/>
  <c r="F51" i="5"/>
  <c r="F50" i="5" s="1"/>
  <c r="E51" i="5"/>
  <c r="E50" i="5" s="1"/>
  <c r="F49" i="5"/>
  <c r="F48" i="5" s="1"/>
  <c r="F47" i="5" s="1"/>
  <c r="E49" i="5"/>
  <c r="E48" i="5" s="1"/>
  <c r="E47" i="5" s="1"/>
  <c r="F45" i="5"/>
  <c r="F44" i="5" s="1"/>
  <c r="F43" i="5" s="1"/>
  <c r="E45" i="5"/>
  <c r="E44" i="5" s="1"/>
  <c r="E43" i="5" s="1"/>
  <c r="F42" i="5"/>
  <c r="E42" i="5"/>
  <c r="F41" i="5"/>
  <c r="E41" i="5"/>
  <c r="F40" i="5"/>
  <c r="E40" i="5"/>
  <c r="E39" i="5" s="1"/>
  <c r="E38" i="5" s="1"/>
  <c r="F37" i="5"/>
  <c r="E37" i="5"/>
  <c r="F36" i="5"/>
  <c r="E36" i="5"/>
  <c r="F35" i="5"/>
  <c r="E35" i="5"/>
  <c r="F32" i="5"/>
  <c r="E32" i="5"/>
  <c r="F31" i="5"/>
  <c r="E31" i="5"/>
  <c r="F30" i="5"/>
  <c r="E30" i="5"/>
  <c r="F27" i="5"/>
  <c r="F26" i="5" s="1"/>
  <c r="F25" i="5" s="1"/>
  <c r="E27" i="5"/>
  <c r="E26" i="5" s="1"/>
  <c r="E25" i="5" s="1"/>
  <c r="F24" i="5"/>
  <c r="F23" i="5" s="1"/>
  <c r="E24" i="5"/>
  <c r="E23" i="5" s="1"/>
  <c r="F22" i="5"/>
  <c r="F20" i="5" s="1"/>
  <c r="E22" i="5"/>
  <c r="E20" i="5" s="1"/>
  <c r="F19" i="5"/>
  <c r="F18" i="5" s="1"/>
  <c r="E19" i="5"/>
  <c r="E18" i="5" s="1"/>
  <c r="E8" i="5"/>
  <c r="F12" i="5"/>
  <c r="F10" i="5"/>
  <c r="E103" i="5" l="1"/>
  <c r="E59" i="5"/>
  <c r="E58" i="5" s="1"/>
  <c r="E69" i="5"/>
  <c r="E68" i="5" s="1"/>
  <c r="E67" i="5" s="1"/>
  <c r="E88" i="5"/>
  <c r="E87" i="5" s="1"/>
  <c r="E102" i="5"/>
  <c r="E54" i="5"/>
  <c r="E46" i="5" s="1"/>
  <c r="F29" i="5"/>
  <c r="F28" i="5" s="1"/>
  <c r="F34" i="5"/>
  <c r="F54" i="5"/>
  <c r="F46" i="5" s="1"/>
  <c r="F59" i="5"/>
  <c r="F58" i="5" s="1"/>
  <c r="F87" i="5"/>
  <c r="E29" i="5"/>
  <c r="E28" i="5" s="1"/>
  <c r="E34" i="5"/>
  <c r="E33" i="5" s="1"/>
  <c r="F39" i="5"/>
  <c r="F38" i="5" s="1"/>
  <c r="E17" i="5"/>
  <c r="F9" i="5"/>
  <c r="F8" i="5" s="1"/>
  <c r="F17" i="5"/>
  <c r="F33" i="5" l="1"/>
  <c r="F16" i="5"/>
  <c r="F119" i="5" s="1"/>
  <c r="E16" i="5"/>
  <c r="E119" i="5" s="1"/>
</calcChain>
</file>

<file path=xl/sharedStrings.xml><?xml version="1.0" encoding="utf-8"?>
<sst xmlns="http://schemas.openxmlformats.org/spreadsheetml/2006/main" count="238" uniqueCount="207">
  <si>
    <t>№№ п/п</t>
  </si>
  <si>
    <t>Наименование мероприятия</t>
  </si>
  <si>
    <t>Расходы в рамках мероприятия</t>
  </si>
  <si>
    <t>Расчет стоимости</t>
  </si>
  <si>
    <t>Сумма (в рублях)</t>
  </si>
  <si>
    <t>ИТОГО:</t>
  </si>
  <si>
    <t>1.</t>
  </si>
  <si>
    <t>1.1.</t>
  </si>
  <si>
    <t>1.1.1.</t>
  </si>
  <si>
    <t>2.</t>
  </si>
  <si>
    <t>2.1.</t>
  </si>
  <si>
    <t>2.1.1.</t>
  </si>
  <si>
    <t>3.</t>
  </si>
  <si>
    <t>3.1.</t>
  </si>
  <si>
    <t>4.</t>
  </si>
  <si>
    <t>4.1.</t>
  </si>
  <si>
    <t>4.1.1.</t>
  </si>
  <si>
    <t>5.</t>
  </si>
  <si>
    <t>5.1.</t>
  </si>
  <si>
    <t>5.1.1.</t>
  </si>
  <si>
    <t>6.</t>
  </si>
  <si>
    <t>6.1.</t>
  </si>
  <si>
    <t>6.1.1.</t>
  </si>
  <si>
    <t>7.</t>
  </si>
  <si>
    <t>7.1.</t>
  </si>
  <si>
    <t>7.1.1.</t>
  </si>
  <si>
    <t>8.</t>
  </si>
  <si>
    <t>8.1.</t>
  </si>
  <si>
    <t>8.1.1.</t>
  </si>
  <si>
    <t>9.</t>
  </si>
  <si>
    <t>9.1.</t>
  </si>
  <si>
    <t>9.1.1.</t>
  </si>
  <si>
    <t>10.</t>
  </si>
  <si>
    <t>10.1.</t>
  </si>
  <si>
    <t>10.1.1.</t>
  </si>
  <si>
    <t>2022 год</t>
  </si>
  <si>
    <t>2023 год</t>
  </si>
  <si>
    <t>МФУ</t>
  </si>
  <si>
    <t>Цветовой тест</t>
  </si>
  <si>
    <t>Методика «Домики»</t>
  </si>
  <si>
    <t>1.1.2.</t>
  </si>
  <si>
    <t>2.1.2.</t>
  </si>
  <si>
    <t>2.2.</t>
  </si>
  <si>
    <t>2.3.</t>
  </si>
  <si>
    <t>2.3.1.</t>
  </si>
  <si>
    <t>3.2.</t>
  </si>
  <si>
    <t>3.2.1.</t>
  </si>
  <si>
    <t>3.3.</t>
  </si>
  <si>
    <t>3.3.1.</t>
  </si>
  <si>
    <t>4.1.2.</t>
  </si>
  <si>
    <t>Расшифровка расходов по мероприятиям, на реализацию которых выделяются средства Гранта по Договору  № __________________</t>
  </si>
  <si>
    <t>Группа видов расходов/ наименование расхода</t>
  </si>
  <si>
    <t>ноутбук</t>
  </si>
  <si>
    <t>Оплата услуг по повышению профессиональных компетенций специалистов, участвующих в реализации мероприятий, и обучению представителей целевых групп, добровольцев</t>
  </si>
  <si>
    <t>Оплата услуг по обучению специалистов на базе профессиональных стажировочных площадок Фонда</t>
  </si>
  <si>
    <t>Приобретение мебели</t>
  </si>
  <si>
    <t>Приобретение спортивного оборудования и инвентаря</t>
  </si>
  <si>
    <t>Приобретение мультимедийного оборудования</t>
  </si>
  <si>
    <t>7.2.</t>
  </si>
  <si>
    <t>7.2.1.</t>
  </si>
  <si>
    <t>10.1.2.</t>
  </si>
  <si>
    <t>4.2.</t>
  </si>
  <si>
    <t>9.2.</t>
  </si>
  <si>
    <t>9.2.1.</t>
  </si>
  <si>
    <t>Приобретение компьютерной техники, оргтехники, теле-, аудио-, видео-, фото-техники, мультимедийного оборудования для проведения занятий с представителями целевых групп</t>
  </si>
  <si>
    <t>Приобретение диагностических методик, программных средств, программно-методических, видео материалов, электронно-образовательных ресурсов и специализированной литературы</t>
  </si>
  <si>
    <t>Приобретение диагностических методик, в том числе компьютерных</t>
  </si>
  <si>
    <t>Приобретение реабилитационного оборудования, используемого в работе с представителями целевых групп</t>
  </si>
  <si>
    <t>Эмоциональный арт-конструктор</t>
  </si>
  <si>
    <t>Приобретение мебели и бытовой техники для оборудования помещений для представителей целевых групп, в том числе комнат социально-бытовой ориентации</t>
  </si>
  <si>
    <t>2.4.</t>
  </si>
  <si>
    <t>2.4.1.</t>
  </si>
  <si>
    <t>Приобретение игрового, спортивного, туристического оборудования, инвентаря и формы для организации мероприятий с представителями целевых групп</t>
  </si>
  <si>
    <t>9.1.2.</t>
  </si>
  <si>
    <t>5.1.2.</t>
  </si>
  <si>
    <t>5.1.3.</t>
  </si>
  <si>
    <t>«Комплекс мер Иркутской области «Особое внимание», направленный на оказание помощи детям, пострадавшим от жестокого обращения, обеспечение безопасности детей»»</t>
  </si>
  <si>
    <t>Задача 1.: «Создание условий по обеспечению управлением регионального комплекса мер, контроля за ходом его реализации, межведомственной координации деятельности»</t>
  </si>
  <si>
    <t>Развитие регионального ресурсного центра «Не остаться равнодушным», направленного на развитие региональных систем обеспечения безопасности детства</t>
  </si>
  <si>
    <t>40 000руб.*2шт.*1 год</t>
  </si>
  <si>
    <t>150 000 руб.*1шт.</t>
  </si>
  <si>
    <t>250 000руб.*1шт.</t>
  </si>
  <si>
    <r>
      <rPr>
        <b/>
        <sz val="12"/>
        <rFont val="Times New Roman"/>
        <family val="1"/>
        <charset val="204"/>
      </rPr>
      <t xml:space="preserve">Приобретение оргтехники      </t>
    </r>
    <r>
      <rPr>
        <sz val="12"/>
        <rFont val="Times New Roman"/>
        <family val="1"/>
        <charset val="204"/>
      </rPr>
      <t xml:space="preserve">                 </t>
    </r>
  </si>
  <si>
    <t>Приобретение компьютерной техники, оргтехники, теле-, аудио-, видео-, фото техники, мультимедийного оборудования для проведения занятий с представителями целевых групп</t>
  </si>
  <si>
    <r>
      <rPr>
        <b/>
        <sz val="12"/>
        <rFont val="Times New Roman"/>
        <family val="1"/>
        <charset val="204"/>
      </rPr>
      <t xml:space="preserve">Приобретение компьютерной техники      </t>
    </r>
    <r>
      <rPr>
        <sz val="12"/>
        <rFont val="Times New Roman"/>
        <family val="1"/>
        <charset val="204"/>
      </rPr>
      <t xml:space="preserve">                 </t>
    </r>
  </si>
  <si>
    <t xml:space="preserve">Цветное МФУ </t>
  </si>
  <si>
    <t>Широкоформатный принтер</t>
  </si>
  <si>
    <t>Задача 2: «Расширение перечня мероприятий, включаемых в программы социальной адаптации получателей государственной социальной помощи на основании социального контракта»</t>
  </si>
  <si>
    <t xml:space="preserve">Создание служб «Антикризисный центр», обеспечивающих реабилитацию несовершеннолетних, пострадавших от жестокого обращения и преступных посягательств, в том числе проживающих в труднодоступных местах, работу с членами их семей </t>
  </si>
  <si>
    <t>40 000 руб.*5 шт.</t>
  </si>
  <si>
    <t>200 000 руб.*2 шт.*2 года</t>
  </si>
  <si>
    <t>90 000 руб.*5 шт.</t>
  </si>
  <si>
    <t>210 000 руб.*5 шт.</t>
  </si>
  <si>
    <t>5000 руб.*3 шт.*5 учреждений</t>
  </si>
  <si>
    <t>3000 руб.*по 2шт.*5 учреждений</t>
  </si>
  <si>
    <t>20 000руб.*5 шт.</t>
  </si>
  <si>
    <t>1500руб*2шт.*5 учреждений</t>
  </si>
  <si>
    <t>Интерактивная панель</t>
  </si>
  <si>
    <t xml:space="preserve">конференц-система </t>
  </si>
  <si>
    <t xml:space="preserve">Приобретение реабилитационного оборудования, используемого в работе с представителями целевых групп
</t>
  </si>
  <si>
    <t>кресло-мешок</t>
  </si>
  <si>
    <r>
      <t>Комплекс БОС Кинезис Психоэмоциональной коррекции</t>
    </r>
    <r>
      <rPr>
        <sz val="12"/>
        <rFont val="Times New Roman"/>
        <family val="1"/>
        <charset val="204"/>
      </rPr>
      <t xml:space="preserve">     </t>
    </r>
  </si>
  <si>
    <t>боксерские перчатки</t>
  </si>
  <si>
    <t xml:space="preserve">напольная боксерская груша </t>
  </si>
  <si>
    <t>секундомер</t>
  </si>
  <si>
    <t>Создание условий для проведения реабилитационных мероприятий с несовершеннолетними и их родителями (законными представителями), в том числе опроса и интервьюирования несовершеннолетних в процессе следственных мероприятий, пострадавших несовершеннолетних и несовершеннолетних, ставших свидетелями жестокого обращения с другими детьми (создание специализированных служб «Зеленая комната»)</t>
  </si>
  <si>
    <t>160 000 руб*2 шт.* 2 года</t>
  </si>
  <si>
    <t>20 000руб.*2 шт.*2 года</t>
  </si>
  <si>
    <t>10000руб.*2 шт.*2 года</t>
  </si>
  <si>
    <t>5 000 руб.*3 шт.* 2 учреждения* 2 года</t>
  </si>
  <si>
    <t>6000 руб.*2 шт.*2 учреждения*2 года</t>
  </si>
  <si>
    <t>50000 руб.*1шт.*2 учреждения*2 года</t>
  </si>
  <si>
    <t>Зеркало Гезелла   (Солнцезащитно-декор.стекло "Титановый тон-17", 6 мм, в размере 1000х1500мм. с оплатой доставки со страховкой), Радиостанция портативная, с антенной , Жесткий диск  для круглосуточной работы в системах  видеонаблюдения, Ременная клипса с крепежными винтами, Зарядное устройство , Гарнитура однопроводная с прозрачным воздуховодом,  регистратор для аналоговых, аналоговые камеры: Видеокамера уличная разрешение; Микрофон активный, широкополосный, аккуст.дальность до 7 м, Кабель совмещенный; Кабель многожильный, разъем BNC под винт; Разъем питания универсальный "папа", Блок стабилизированного питаниия</t>
  </si>
  <si>
    <t xml:space="preserve">Стол для рисования песком и водой </t>
  </si>
  <si>
    <t>Набор настольных игр</t>
  </si>
  <si>
    <t>кресло офиснсое</t>
  </si>
  <si>
    <t>стол компьютерный</t>
  </si>
  <si>
    <t>компьютер с предустановленным программным обеспечением</t>
  </si>
  <si>
    <t>Создание служб «Семейная терапия» по поддержке женщин с несовершеннолетними детьми, оказавшимися в социально опасном положении вследствие угрозы насилия или жестокого обращения, пострадавших от насилия в семье, имевшим опыт жестокого обращения в родительской семье</t>
  </si>
  <si>
    <t>40 000 руб.*5 учреждение*2 года</t>
  </si>
  <si>
    <t>30000 руб.*5 шт.*2 года</t>
  </si>
  <si>
    <t>20 000 руб.*5 учреждений*2 года</t>
  </si>
  <si>
    <t>10 000 руб. *5 наборов* 2 года</t>
  </si>
  <si>
    <t>36900 руб.*5 шт.*2 года</t>
  </si>
  <si>
    <t xml:space="preserve">ноутбук       </t>
  </si>
  <si>
    <t xml:space="preserve">МФУ   </t>
  </si>
  <si>
    <t>экшн-камера</t>
  </si>
  <si>
    <r>
      <rPr>
        <b/>
        <sz val="12"/>
        <rFont val="Times New Roman"/>
        <family val="1"/>
        <charset val="204"/>
      </rPr>
      <t xml:space="preserve">Приобретение видеотехники    </t>
    </r>
    <r>
      <rPr>
        <sz val="12"/>
        <rFont val="Times New Roman"/>
        <family val="1"/>
        <charset val="204"/>
      </rPr>
      <t xml:space="preserve">                 </t>
    </r>
  </si>
  <si>
    <t>4.1.3.</t>
  </si>
  <si>
    <t xml:space="preserve">набор метафорических карт по 5 темам  </t>
  </si>
  <si>
    <r>
      <rPr>
        <sz val="12"/>
        <rFont val="Times New Roman"/>
        <family val="1"/>
        <charset val="204"/>
      </rPr>
      <t>комплект «Саната» аудиовизуальных психокоррекционных программ</t>
    </r>
    <r>
      <rPr>
        <i/>
        <sz val="12"/>
        <rFont val="Times New Roman"/>
        <family val="1"/>
        <charset val="204"/>
      </rPr>
      <t xml:space="preserve"> </t>
    </r>
  </si>
  <si>
    <t>Задача 3: «Разработка и внедрение реабилитационных программ для детей, переживших насилие и жестокое обращение, на основе использования новых методик и технологий, направленных на повышение качества оказания помощи таким детям, в том числе разработка и реализация программ выявления случаев насильственных проявлений детьми и по отношению к детям, программ по предотвращению проявлений различных видов деструктивного поведения в подростковой среде»</t>
  </si>
  <si>
    <t>Разработка и внедрение реабилитационных программ для детей, переживших насилие и жестокое обращение, на основе использования инновационной технологии «Психобокс», направленных на повышение качества оказания помощи таким детям, организации работы с их родителями (законными представителями), ближайшим окружением</t>
  </si>
  <si>
    <t>350 000 руб*1шт.*1 год</t>
  </si>
  <si>
    <t>50 000руб*1шт.*1год</t>
  </si>
  <si>
    <t>15 000руб*1шт.*1год</t>
  </si>
  <si>
    <t>видеокамера</t>
  </si>
  <si>
    <t>штатив для видеокамеры</t>
  </si>
  <si>
    <t>100 000 руб. *1шт.*1год</t>
  </si>
  <si>
    <t>Разработка и реализация программ выявления случаев насильственных проявлений детьми и по отношению к детям</t>
  </si>
  <si>
    <t>96250 руб.*3 шт.*2 года</t>
  </si>
  <si>
    <t>5000 руб.*3шт.*2 года</t>
  </si>
  <si>
    <t>69600 руб.*3 шт.*2 года</t>
  </si>
  <si>
    <t>43500 руб.*3 шт.*2 года</t>
  </si>
  <si>
    <t>24000 руб.*3 шт.*2 года</t>
  </si>
  <si>
    <t>11500 руб.*3шт.*2 года</t>
  </si>
  <si>
    <t>18500 руб.*3 шт.*2 года</t>
  </si>
  <si>
    <t>14500 руб*3шт.*2 года</t>
  </si>
  <si>
    <t>6500 руб.*3 шт. * 2 года</t>
  </si>
  <si>
    <t>13500 руб.*3 шт.*2 года</t>
  </si>
  <si>
    <t>9700 руб.*3 шт.*2 года</t>
  </si>
  <si>
    <t>11000 руб.*3 шт.* 2 года</t>
  </si>
  <si>
    <t>11700 руб.*3 шт.*2 года</t>
  </si>
  <si>
    <t>12500 руб.*3 шт.*2 года</t>
  </si>
  <si>
    <t>24400 руб.*3 шт.* 2 года</t>
  </si>
  <si>
    <t>8500 руб.*3 шт.* 2 года</t>
  </si>
  <si>
    <t>31000 руб.*3 шт.*2 года</t>
  </si>
  <si>
    <r>
      <t>Автоматизированное рабочее место для органи-зации работы психолога (ноутбук с установлен-ным экземпляром программного обеспечения по психологическому диагностированию Effecton Studio «Психология в школе», Модулем Социо-метри</t>
    </r>
    <r>
      <rPr>
        <sz val="14"/>
        <rFont val="Times New Roman"/>
        <family val="1"/>
        <charset val="204"/>
      </rPr>
      <t>я)</t>
    </r>
  </si>
  <si>
    <t>Социометрия</t>
  </si>
  <si>
    <t>Классикор. Компьютерный психологический комплекс</t>
  </si>
  <si>
    <t>Методика Л. А. Ясюковой в трех частях</t>
  </si>
  <si>
    <t>Методика «Ориентир»</t>
  </si>
  <si>
    <t>Методика «Вектор»</t>
  </si>
  <si>
    <t>Проективный тест мотивации</t>
  </si>
  <si>
    <t>Методика «Сигнал»</t>
  </si>
  <si>
    <t xml:space="preserve"> Тест Ландольта</t>
  </si>
  <si>
    <t xml:space="preserve"> Тест Тулуз-Пьерона</t>
  </si>
  <si>
    <t>Методика «ИДИКС»</t>
  </si>
  <si>
    <t>Фрустрационный тест Розенцвейга (взрослый и детский вариант)</t>
  </si>
  <si>
    <t xml:space="preserve"> Тест детской апперцепции</t>
  </si>
  <si>
    <t>Тест Векслера (детский и взрослый варианты)</t>
  </si>
  <si>
    <t xml:space="preserve">Разработка и реализация программ по предотвращению проявлений различных видов деструктивного поведения в подростковой среде </t>
  </si>
  <si>
    <t>242 000 руб.*3 шт.*2 года</t>
  </si>
  <si>
    <t>50 000 руб.*1шт.*4 учреждений*2 года</t>
  </si>
  <si>
    <t>35000руб.*1шт.*4учреждений*2 года</t>
  </si>
  <si>
    <t xml:space="preserve">компьютер с предустановленным программным обеспечением        </t>
  </si>
  <si>
    <t>Приобретение программно-методических, видео материалов, электронно-образовательных ресурсов и специализированной литературы</t>
  </si>
  <si>
    <t xml:space="preserve">VR-Приложение «Навигатум: Профессии этой реальности» (комплект «под ключ»)       </t>
  </si>
  <si>
    <t>комплект для видеостудии в сборе</t>
  </si>
  <si>
    <t>Задача 4: «Организация и проведение мероприятия «Неделя информирования об общероссийском Детском телефоне доверия 8-800-2000-122 и 124», приуроченного к Международному дню Детского телефона доверия (17 мая)»</t>
  </si>
  <si>
    <t>Организация работы региональных служб экстренного психологического телефона доверия, в том числе подключенных к единому общероссийскому номеру телефона доверия.</t>
  </si>
  <si>
    <t>180 000*4 шт.</t>
  </si>
  <si>
    <t>Ризограф Riso CV 1200</t>
  </si>
  <si>
    <t>Задача 6.: «Развитие добровольческих инициатив»</t>
  </si>
  <si>
    <t>Создание «Школ волонтеров» на базе 10 учреждений социального обслуживания населения сельских и отдаленных территорий</t>
  </si>
  <si>
    <t xml:space="preserve">40 000 руб.*5 шт.*2 года </t>
  </si>
  <si>
    <t>30000 руб.*5 учреждений*2 года</t>
  </si>
  <si>
    <t>35000руб.*5 учреждений*2 года</t>
  </si>
  <si>
    <t>Задача 7.: «Содействие в проведении мероприятий по повышению компетенций специалистов, обеспечивающих внедрение новых социальных практик в рамках регионального комплекса мер»</t>
  </si>
  <si>
    <t>Повышение компетенций специалистов, обеспечивающих внедрение новых социальных практик в рамках регионального комплекса мер, на базе профессиональных стажировочной площадке по направлению «Кризисная помощь женщинам с несовершеннолетними детьми»</t>
  </si>
  <si>
    <t>7 500 руб.*3 чел.*1 год</t>
  </si>
  <si>
    <t>30000 руб*1 чел.</t>
  </si>
  <si>
    <t>4000 руб.*1 чел.*3 суток</t>
  </si>
  <si>
    <t xml:space="preserve">оплата стажировки в г. Пенза </t>
  </si>
  <si>
    <t>оплата авиабилетов Иркутск-Пенза-Иркутск</t>
  </si>
  <si>
    <t>Оплата проживания в гостинице номер стандарт в г. Пенза</t>
  </si>
  <si>
    <t xml:space="preserve">Оплата проезда и проживания </t>
  </si>
  <si>
    <r>
      <t xml:space="preserve">ПОЛУЧАТЕЛИ: </t>
    </r>
    <r>
      <rPr>
        <b/>
        <i/>
        <sz val="12"/>
        <color rgb="FFFF0000"/>
        <rFont val="Times New Roman"/>
        <family val="1"/>
        <charset val="204"/>
      </rPr>
      <t>УМЦ</t>
    </r>
  </si>
  <si>
    <r>
      <t>Получатели: в</t>
    </r>
    <r>
      <rPr>
        <b/>
        <i/>
        <sz val="12"/>
        <color rgb="FFFF0000"/>
        <rFont val="Times New Roman"/>
        <family val="1"/>
        <charset val="204"/>
      </rPr>
      <t xml:space="preserve"> </t>
    </r>
    <r>
      <rPr>
        <b/>
        <i/>
        <sz val="12"/>
        <rFont val="Times New Roman"/>
        <family val="1"/>
        <charset val="204"/>
      </rPr>
      <t>2022 году</t>
    </r>
    <r>
      <rPr>
        <b/>
        <i/>
        <sz val="12"/>
        <color rgb="FFFF0000"/>
        <rFont val="Times New Roman"/>
        <family val="1"/>
        <charset val="204"/>
      </rPr>
      <t xml:space="preserve"> - 1) ОГБУСО «Центр социальной помощи семье и детям г. Усть-Илимска и Усть-Илимского района», 2) ОГКУСО "Центр помощи детям, оставшимся без попечения родителей, г. Ангарска», 3) ОГКУСО "Центр помощи детям, оставшимся без попечения родителей, Правобережного округа г. Иркутска»; 
</t>
    </r>
    <r>
      <rPr>
        <b/>
        <i/>
        <sz val="12"/>
        <rFont val="Times New Roman"/>
        <family val="1"/>
        <charset val="204"/>
      </rPr>
      <t>в 2023 году -</t>
    </r>
    <r>
      <rPr>
        <b/>
        <i/>
        <sz val="12"/>
        <color rgb="FFFF0000"/>
        <rFont val="Times New Roman"/>
        <family val="1"/>
        <charset val="204"/>
      </rPr>
      <t xml:space="preserve"> 1) ОГКУСО «Социально-реабилитационный центр для несовершеннолетних Нижнеудинского района»; 2) ОГКУСО «Центр помощи детям, оставшимся без попечения родителей, г. Шелехова».</t>
    </r>
  </si>
  <si>
    <r>
      <t xml:space="preserve">Получатели: В 2022 году: </t>
    </r>
    <r>
      <rPr>
        <b/>
        <i/>
        <sz val="12"/>
        <color rgb="FFFF0000"/>
        <rFont val="Times New Roman"/>
        <family val="1"/>
        <charset val="204"/>
      </rPr>
      <t xml:space="preserve">1) ОГБУСО «Социально-реабилитационный центр для несовершеннолетних Заларинского района», 2) ОГБУСО «Центр социальной помощи семье и детям г. Усть-Илимска и Усть-Илимского района», </t>
    </r>
    <r>
      <rPr>
        <b/>
        <i/>
        <sz val="12"/>
        <rFont val="Times New Roman"/>
        <family val="1"/>
        <charset val="204"/>
      </rPr>
      <t>в 2023 году: 1</t>
    </r>
    <r>
      <rPr>
        <b/>
        <i/>
        <sz val="12"/>
        <color rgb="FFFF0000"/>
        <rFont val="Times New Roman"/>
        <family val="1"/>
        <charset val="204"/>
      </rPr>
      <t>) ОГКУСО «Центр помощи детям, оставшимся без попечения родителей, г. Усолье-Сибирское», 2) ОГБУСО «Центр помощи детям, оставшимся без попечения родителей, «Гармония» г. Черемхово».</t>
    </r>
  </si>
  <si>
    <r>
      <t>Получатели: в 2022 году на базе 5 учреждений: 1</t>
    </r>
    <r>
      <rPr>
        <b/>
        <i/>
        <sz val="12"/>
        <color rgb="FFFF0000"/>
        <rFont val="Times New Roman"/>
        <family val="1"/>
        <charset val="204"/>
      </rPr>
      <t>) ОГКУСО «Центр помощи детям, оставшимся без попечения родителей, г. Черемхово», 2) ОГКУСО «Центр помощи детям, оставшимся без попечения родителей, Куйтунского района», 3) ОГКУСО «Центр помощи детям, оставшимся без попечения родителей, Слюдянского района», 4) ОГКУСО «Социально-реабилитационный центр для несовершеннолетних п. Лесогорск»; 5) ОГКУСО "Центр помощи детям, оставшимся без попечения родителей, Свердловского района г. Иркутска»,</t>
    </r>
    <r>
      <rPr>
        <b/>
        <i/>
        <sz val="12"/>
        <rFont val="Times New Roman"/>
        <family val="1"/>
        <charset val="204"/>
      </rPr>
      <t xml:space="preserve">
в 2023 году базе 5 учреждений: </t>
    </r>
    <r>
      <rPr>
        <b/>
        <i/>
        <sz val="12"/>
        <color rgb="FFFF0000"/>
        <rFont val="Times New Roman"/>
        <family val="1"/>
        <charset val="204"/>
      </rPr>
      <t>1) ОГБУ «Управление социальной защиты и обслуживания населения Жигаловского района»; 2) ОГБУСО «Комплексный центр социального обслуживания населения Качугского района», 3) ОГБУСО «Комплексный центр социального обслуживания населения Балаганского района", 4) ОГБУСО «Социально-реабилитационный центр для несовершеннолетних Заларинского района» 5) ОГБУСО «Комплексный центр социального обслуживания населения Усть-Удинского района»</t>
    </r>
    <r>
      <rPr>
        <b/>
        <i/>
        <sz val="12"/>
        <rFont val="Times New Roman"/>
        <family val="1"/>
        <charset val="204"/>
      </rPr>
      <t xml:space="preserve">.
</t>
    </r>
  </si>
  <si>
    <r>
      <t xml:space="preserve">Получатели: 2022 году - </t>
    </r>
    <r>
      <rPr>
        <b/>
        <i/>
        <sz val="12"/>
        <color rgb="FFFF0000"/>
        <rFont val="Times New Roman"/>
        <family val="1"/>
        <charset val="204"/>
      </rPr>
      <t>ОГБУСО «Центр социальной помощи семье и детям г. Усть-Илимска и Усть-Илимского района»</t>
    </r>
  </si>
  <si>
    <r>
      <t xml:space="preserve">Получатели: в 2022 году - </t>
    </r>
    <r>
      <rPr>
        <b/>
        <i/>
        <sz val="12"/>
        <color rgb="FFFF0000"/>
        <rFont val="Times New Roman"/>
        <family val="1"/>
        <charset val="204"/>
      </rPr>
      <t>ОГКУСО «Социально-реабилитационный центр для несовершеннолетних Иркутского района» 
ОГКУСО «Центр помощи детям, оставшимся без попечения родителей, Усть-Кутского района»</t>
    </r>
    <r>
      <rPr>
        <b/>
        <i/>
        <sz val="12"/>
        <rFont val="Times New Roman"/>
        <family val="1"/>
        <charset val="204"/>
      </rPr>
      <t xml:space="preserve">
</t>
    </r>
  </si>
  <si>
    <r>
      <t>Получатели: созданы видеостудии, (в 2022 году в</t>
    </r>
    <r>
      <rPr>
        <b/>
        <i/>
        <sz val="12"/>
        <color rgb="FFFF0000"/>
        <rFont val="Times New Roman"/>
        <family val="1"/>
        <charset val="204"/>
      </rPr>
      <t xml:space="preserve"> 3 учреждениях: 1)  ОГКУСО «Центр помощи детям, оставшимся без попечения родителей, Ленинского района г. Иркутска», 2) ОГКУСО «Центр помощи детям, оставшимся без попечения родителей, Свердловского района г. Иркутска», 3) ОГКУСО «Центр помощи детям, оставшимся без попечения родителей, г. Братска»;</t>
    </r>
    <r>
      <rPr>
        <b/>
        <i/>
        <sz val="12"/>
        <rFont val="Times New Roman"/>
        <family val="1"/>
        <charset val="204"/>
      </rPr>
      <t xml:space="preserve"> в 2023 году: в 3 учреждениях: </t>
    </r>
    <r>
      <rPr>
        <b/>
        <i/>
        <sz val="12"/>
        <color rgb="FFFF0000"/>
        <rFont val="Times New Roman"/>
        <family val="1"/>
        <charset val="204"/>
      </rPr>
      <t xml:space="preserve">1) ОГКУСО «Центр помощи детям, оставшимся без попечения родителей, г. Шелехова», 2) ОГКУСО «Социально-реабилитационный центр для несовершеннолетних г. Иркутска», 3) ОГКУСО «Социально-реабилитационный центр для несовершеннолетних Усольского района»).                                                                             </t>
    </r>
    <r>
      <rPr>
        <b/>
        <i/>
        <sz val="12"/>
        <color theme="4"/>
        <rFont val="Times New Roman"/>
        <family val="1"/>
        <charset val="204"/>
      </rPr>
      <t>8 организаций будут оснащены компьютерным и диагностическим оборудованием (</t>
    </r>
    <r>
      <rPr>
        <b/>
        <i/>
        <sz val="12"/>
        <rFont val="Times New Roman"/>
        <family val="1"/>
        <charset val="204"/>
      </rPr>
      <t>в 2022 году:</t>
    </r>
    <r>
      <rPr>
        <b/>
        <i/>
        <sz val="12"/>
        <color theme="4"/>
        <rFont val="Times New Roman"/>
        <family val="1"/>
        <charset val="204"/>
      </rPr>
      <t xml:space="preserve"> 1) ОГКУСО «Центр помощи детям, оставшимся без попечения родителей, Заларинского района», 2) ОГКУСО «Центр помощи детям, оставшимся без попечения родителей, Слюдянского района»; 3) ОГКУСО «Центр помощи детям, оставшимся без попечения родителей, Куйтунского района»; 4) ОГБУСО «Социально-реабилитационный центр для несовершеннолетнего Братского района»; в</t>
    </r>
    <r>
      <rPr>
        <b/>
        <i/>
        <sz val="12"/>
        <rFont val="Times New Roman"/>
        <family val="1"/>
        <charset val="204"/>
      </rPr>
      <t xml:space="preserve"> 2023 году:</t>
    </r>
    <r>
      <rPr>
        <b/>
        <i/>
        <sz val="12"/>
        <color theme="4"/>
        <rFont val="Times New Roman"/>
        <family val="1"/>
        <charset val="204"/>
      </rPr>
      <t xml:space="preserve"> 1) ОГКУСО «Центр социальной помощи семье и детям , Тайшетского района», 2) ОГБУСО «Центр помощи детям, оставшимся без попечения родителей, «Гармония» г. Черемхово», 3) ОГКУСО «Центр помощи детям, оставшимся без попечения родителей, г. Черемхово», 4) ОГКУСО «Центр помощи детям, оставшимся без попечения родителей, г. Усолье-Сибирское»</t>
    </r>
  </si>
  <si>
    <r>
      <t xml:space="preserve">Получатели: в 2023 году - </t>
    </r>
    <r>
      <rPr>
        <b/>
        <i/>
        <sz val="12"/>
        <color rgb="FFFF0000"/>
        <rFont val="Times New Roman"/>
        <family val="1"/>
        <charset val="204"/>
      </rPr>
      <t>ОГКУСО «Социально-реабилитационный центр для несовершеннолетних г. Иркутска», 
ОГБУ СО «Центр помощи детям, оставшимся без попечения родителей, «Гармония» г. Черемхово», 
ОГКУСО «Социально-реабилитационный центр для несовершеннолетних Усольского района», 
ОГБУСО «Социально-реабилитационный центр для несовершеннолетних Заларинского района»</t>
    </r>
    <r>
      <rPr>
        <b/>
        <i/>
        <sz val="12"/>
        <rFont val="Times New Roman"/>
        <family val="1"/>
        <charset val="204"/>
      </rPr>
      <t xml:space="preserve">
</t>
    </r>
  </si>
  <si>
    <r>
      <t xml:space="preserve">Получатели: будут созданы «Школы волонтера»: в 2022 году:1) </t>
    </r>
    <r>
      <rPr>
        <b/>
        <i/>
        <sz val="12"/>
        <color rgb="FFFF0000"/>
        <rFont val="Times New Roman"/>
        <family val="1"/>
        <charset val="204"/>
      </rPr>
      <t xml:space="preserve">ОГБУСО «Комплексный центр социального обслуживания населения Качугского района», 2) ОГБУСО «Комплексный центр социального обслуживания населения Нукутского района», 3) ОГБУСО «Комплексный центр населения Балаганского района», 4) ОГБУСО «Комплексный центр социального обслуживания населения г. Бодайбо и Бодайбинского района», 5) ОГБУ «Управление социальной защиты и социального обслуживания населения Жигаловского района», </t>
    </r>
    <r>
      <rPr>
        <b/>
        <i/>
        <sz val="12"/>
        <rFont val="Times New Roman"/>
        <family val="1"/>
        <charset val="204"/>
      </rPr>
      <t>в 2023 году: 1</t>
    </r>
    <r>
      <rPr>
        <b/>
        <i/>
        <sz val="12"/>
        <color rgb="FFFF0000"/>
        <rFont val="Times New Roman"/>
        <family val="1"/>
        <charset val="204"/>
      </rPr>
      <t xml:space="preserve">) ОГБУ «Управление социальной защиты и социального обслуживания населения Баяндаевского района»; 2) ОГБУ «Управление социальной защиты и социального обслуживания населения Мамско-Чуйского района»; 3) ОГБУСО «Комплексный центр социального обслуживания населения Боханского района», 4) ОГБУСО «Комплексный центр социального обслуживания населения Осинского района», 5) ОГБУ «Управление социальной защиты и социального обслуживания населения Ольхонского района». </t>
    </r>
  </si>
  <si>
    <r>
      <t xml:space="preserve">3 специалиста: в очной форме – 1 специалист от </t>
    </r>
    <r>
      <rPr>
        <b/>
        <i/>
        <sz val="12"/>
        <color rgb="FFFF0000"/>
        <rFont val="Times New Roman"/>
        <family val="1"/>
        <charset val="204"/>
      </rPr>
      <t>ОГБУДПО «Учебно-методический центр развития социального обслуживания», в заочной форме 2 специалиста (по 1 специалисту) от 2 учреждений: 1) ОГКУСО "Центр помощи детям, оставшимся без попечения родителей, г. Шелехова", 2) ОГКУСО "Центр помощи детям, оставшимся без попечения родителей, г. Ангарска».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</si>
</sst>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Calibri"/>
      <family val="2"/>
      <charset val="204"/>
      <scheme val="minor"/>
    </font>
    <font>
      <b/>
      <sz val="12"/>
      <color theme="1"/>
      <name val="Times New Roman"/>
      <family val="1"/>
      <charset val="204"/>
    </font>
    <font>
      <sz val="12"/>
      <color theme="1"/>
      <name val="Times New Roman"/>
      <family val="1"/>
      <charset val="204"/>
    </font>
    <font>
      <b/>
      <sz val="12"/>
      <name val="Times New Roman"/>
      <family val="1"/>
      <charset val="204"/>
    </font>
    <font>
      <sz val="12"/>
      <name val="Times New Roman"/>
      <family val="1"/>
      <charset val="204"/>
    </font>
    <font>
      <b/>
      <i/>
      <sz val="12"/>
      <name val="Times New Roman"/>
      <family val="1"/>
      <charset val="204"/>
    </font>
    <font>
      <sz val="11"/>
      <color theme="1"/>
      <name val="Calibri"/>
      <family val="2"/>
      <scheme val="minor"/>
    </font>
    <font>
      <i/>
      <sz val="12"/>
      <name val="Times New Roman"/>
      <family val="1"/>
      <charset val="204"/>
    </font>
    <font>
      <b/>
      <sz val="12"/>
      <color rgb="FF000000"/>
      <name val="Times New Roman1"/>
      <charset val="204"/>
    </font>
    <font>
      <b/>
      <sz val="12"/>
      <name val="Times New Roman1"/>
      <charset val="204"/>
    </font>
    <font>
      <sz val="12"/>
      <name val="Times New Roman1"/>
      <charset val="204"/>
    </font>
    <font>
      <sz val="12"/>
      <color rgb="FF000000"/>
      <name val="Times New Roman1"/>
      <charset val="204"/>
    </font>
    <font>
      <b/>
      <sz val="10"/>
      <name val="Times New Roman"/>
      <family val="1"/>
      <charset val="204"/>
    </font>
    <font>
      <sz val="14"/>
      <name val="Times New Roman"/>
      <family val="1"/>
      <charset val="204"/>
    </font>
    <font>
      <b/>
      <i/>
      <sz val="12"/>
      <color rgb="FFFF0000"/>
      <name val="Times New Roman"/>
      <family val="1"/>
      <charset val="204"/>
    </font>
    <font>
      <b/>
      <i/>
      <sz val="12"/>
      <color theme="4"/>
      <name val="Times New Roman"/>
      <family val="1"/>
      <charset val="204"/>
    </font>
    <font>
      <sz val="12"/>
      <color theme="4"/>
      <name val="Times New Roman"/>
      <family val="1"/>
      <charset val="204"/>
    </font>
    <font>
      <b/>
      <sz val="12"/>
      <color rgb="FFFF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rgb="FF000000"/>
      </right>
      <top style="thin">
        <color indexed="64"/>
      </top>
      <bottom/>
      <diagonal/>
    </border>
    <border>
      <left/>
      <right style="thin">
        <color indexed="64"/>
      </right>
      <top/>
      <bottom style="thin">
        <color indexed="64"/>
      </bottom>
      <diagonal/>
    </border>
    <border>
      <left/>
      <right style="thin">
        <color rgb="FF000000"/>
      </right>
      <top/>
      <bottom/>
      <diagonal/>
    </border>
    <border>
      <left style="thin">
        <color rgb="FF000000"/>
      </left>
      <right/>
      <top style="thin">
        <color rgb="FF000000"/>
      </top>
      <bottom/>
      <diagonal/>
    </border>
    <border>
      <left style="thin">
        <color indexed="64"/>
      </left>
      <right/>
      <top/>
      <bottom style="thin">
        <color indexed="64"/>
      </bottom>
      <diagonal/>
    </border>
  </borders>
  <cellStyleXfs count="2">
    <xf numFmtId="0" fontId="0" fillId="0" borderId="0"/>
    <xf numFmtId="0" fontId="6" fillId="0" borderId="0"/>
  </cellStyleXfs>
  <cellXfs count="122">
    <xf numFmtId="0" fontId="0" fillId="0" borderId="0" xfId="0"/>
    <xf numFmtId="0" fontId="2" fillId="2" borderId="0" xfId="0" applyFont="1" applyFill="1"/>
    <xf numFmtId="0" fontId="2" fillId="2" borderId="0" xfId="0" applyFont="1" applyFill="1" applyAlignment="1"/>
    <xf numFmtId="0" fontId="2" fillId="2" borderId="0" xfId="0" applyFont="1" applyFill="1" applyAlignment="1">
      <alignment horizontal="left" vertical="top"/>
    </xf>
    <xf numFmtId="0" fontId="2" fillId="2" borderId="0" xfId="0" applyFont="1" applyFill="1" applyAlignment="1">
      <alignment vertical="top"/>
    </xf>
    <xf numFmtId="0" fontId="2" fillId="2" borderId="0" xfId="0" applyFont="1" applyFill="1" applyAlignment="1">
      <alignment horizontal="center" vertical="top"/>
    </xf>
    <xf numFmtId="0" fontId="2" fillId="2" borderId="0" xfId="0" applyFont="1" applyFill="1" applyAlignment="1">
      <alignment horizontal="center"/>
    </xf>
    <xf numFmtId="0" fontId="1" fillId="2" borderId="1" xfId="0" applyNumberFormat="1" applyFont="1" applyFill="1" applyBorder="1" applyAlignment="1">
      <alignment horizontal="center" vertical="center" wrapText="1"/>
    </xf>
    <xf numFmtId="0" fontId="2" fillId="2" borderId="0" xfId="0" applyNumberFormat="1" applyFont="1" applyFill="1"/>
    <xf numFmtId="0" fontId="2" fillId="2" borderId="0" xfId="0" applyNumberFormat="1" applyFont="1" applyFill="1" applyAlignment="1"/>
    <xf numFmtId="0" fontId="2" fillId="2" borderId="0" xfId="0" applyNumberFormat="1" applyFont="1" applyFill="1" applyAlignment="1">
      <alignment horizontal="left" vertical="top"/>
    </xf>
    <xf numFmtId="0" fontId="2" fillId="2" borderId="0" xfId="0" applyNumberFormat="1" applyFont="1" applyFill="1" applyAlignment="1">
      <alignment vertical="top"/>
    </xf>
    <xf numFmtId="0" fontId="4" fillId="2" borderId="1" xfId="0" applyFont="1" applyFill="1" applyBorder="1" applyAlignment="1">
      <alignment horizontal="left" vertical="top" wrapText="1"/>
    </xf>
    <xf numFmtId="14" fontId="1" fillId="2" borderId="1" xfId="0" applyNumberFormat="1" applyFont="1" applyFill="1" applyBorder="1" applyAlignment="1">
      <alignment horizontal="center" vertical="center" wrapText="1"/>
    </xf>
    <xf numFmtId="0" fontId="3" fillId="2" borderId="1" xfId="0" applyFont="1" applyFill="1" applyBorder="1" applyAlignment="1">
      <alignment horizontal="left" vertical="top" wrapText="1"/>
    </xf>
    <xf numFmtId="0" fontId="5" fillId="2" borderId="1" xfId="0" applyFont="1" applyFill="1" applyBorder="1" applyAlignment="1">
      <alignment horizontal="center" vertical="center" wrapText="1"/>
    </xf>
    <xf numFmtId="0" fontId="5" fillId="2" borderId="1" xfId="0" applyFont="1" applyFill="1" applyBorder="1" applyAlignment="1">
      <alignment vertical="top" wrapText="1"/>
    </xf>
    <xf numFmtId="0" fontId="5"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2" xfId="0" applyFont="1" applyFill="1" applyBorder="1" applyAlignment="1">
      <alignment vertical="center" wrapText="1"/>
    </xf>
    <xf numFmtId="0" fontId="3" fillId="2" borderId="1" xfId="0" applyFont="1" applyFill="1" applyBorder="1" applyAlignment="1">
      <alignment horizontal="center" vertical="center" wrapText="1"/>
    </xf>
    <xf numFmtId="0" fontId="5" fillId="2" borderId="4" xfId="0" applyFont="1" applyFill="1" applyBorder="1" applyAlignment="1">
      <alignment vertical="top" wrapText="1"/>
    </xf>
    <xf numFmtId="3" fontId="3" fillId="2" borderId="1" xfId="0" applyNumberFormat="1" applyFont="1" applyFill="1" applyBorder="1" applyAlignment="1">
      <alignment horizontal="right"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3" fontId="1" fillId="2" borderId="1" xfId="0" applyNumberFormat="1" applyFont="1" applyFill="1" applyBorder="1" applyAlignment="1">
      <alignment horizontal="right" vertical="center" wrapText="1"/>
    </xf>
    <xf numFmtId="3" fontId="2" fillId="2" borderId="0" xfId="0" applyNumberFormat="1" applyFont="1" applyFill="1" applyAlignment="1">
      <alignment horizontal="right" vertical="center"/>
    </xf>
    <xf numFmtId="0" fontId="4" fillId="2" borderId="1" xfId="0" applyFont="1" applyFill="1" applyBorder="1" applyAlignment="1">
      <alignment horizontal="center" wrapText="1"/>
    </xf>
    <xf numFmtId="0" fontId="1" fillId="2" borderId="2" xfId="0" applyNumberFormat="1" applyFont="1" applyFill="1" applyBorder="1" applyAlignment="1">
      <alignment horizontal="center" vertical="center" wrapText="1"/>
    </xf>
    <xf numFmtId="0" fontId="1" fillId="2" borderId="3"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xf>
    <xf numFmtId="0" fontId="1" fillId="2" borderId="1" xfId="0" applyNumberFormat="1" applyFont="1" applyFill="1" applyBorder="1" applyAlignment="1">
      <alignment vertical="center" wrapText="1"/>
    </xf>
    <xf numFmtId="3" fontId="4" fillId="2" borderId="1" xfId="0" applyNumberFormat="1" applyFont="1" applyFill="1" applyBorder="1" applyAlignment="1">
      <alignment horizontal="left" wrapText="1"/>
    </xf>
    <xf numFmtId="0" fontId="4" fillId="2" borderId="1" xfId="0" applyFont="1" applyFill="1" applyBorder="1" applyAlignment="1">
      <alignment horizontal="left" wrapText="1"/>
    </xf>
    <xf numFmtId="3" fontId="3" fillId="2" borderId="1" xfId="0" applyNumberFormat="1" applyFont="1" applyFill="1" applyBorder="1" applyAlignment="1">
      <alignment wrapText="1"/>
    </xf>
    <xf numFmtId="0" fontId="4" fillId="2" borderId="1" xfId="0" applyFont="1" applyFill="1" applyBorder="1" applyAlignment="1">
      <alignment wrapText="1"/>
    </xf>
    <xf numFmtId="0" fontId="8" fillId="2" borderId="8" xfId="0" applyFont="1" applyFill="1" applyBorder="1" applyAlignment="1">
      <alignment horizontal="justify" vertical="top" wrapText="1"/>
    </xf>
    <xf numFmtId="3" fontId="9" fillId="2" borderId="8" xfId="0" applyNumberFormat="1" applyFont="1" applyFill="1" applyBorder="1" applyAlignment="1">
      <alignment horizontal="center" vertical="top" wrapText="1"/>
    </xf>
    <xf numFmtId="0" fontId="10" fillId="2" borderId="8" xfId="0" applyFont="1" applyFill="1" applyBorder="1" applyAlignment="1">
      <alignment horizontal="center" vertical="top" wrapText="1"/>
    </xf>
    <xf numFmtId="0" fontId="11" fillId="2" borderId="8" xfId="0" applyFont="1" applyFill="1" applyBorder="1" applyAlignment="1">
      <alignment horizontal="justify" vertical="top" wrapText="1"/>
    </xf>
    <xf numFmtId="3" fontId="3" fillId="2" borderId="6" xfId="0" applyNumberFormat="1" applyFont="1" applyFill="1" applyBorder="1" applyAlignment="1">
      <alignment vertical="center" wrapText="1"/>
    </xf>
    <xf numFmtId="0" fontId="11" fillId="2" borderId="8" xfId="0" applyFont="1" applyFill="1" applyBorder="1" applyAlignment="1">
      <alignment horizontal="center" vertical="top" wrapText="1"/>
    </xf>
    <xf numFmtId="0" fontId="10" fillId="2" borderId="8" xfId="0" applyFont="1" applyFill="1" applyBorder="1" applyAlignment="1">
      <alignment horizontal="justify" vertical="top" wrapText="1"/>
    </xf>
    <xf numFmtId="3" fontId="9" fillId="2" borderId="8" xfId="0" applyNumberFormat="1" applyFont="1" applyFill="1" applyBorder="1" applyAlignment="1">
      <alignment horizontal="center" vertical="center" wrapText="1"/>
    </xf>
    <xf numFmtId="3" fontId="4" fillId="2" borderId="3" xfId="0" applyNumberFormat="1" applyFont="1" applyFill="1" applyBorder="1" applyAlignment="1">
      <alignment horizontal="center" wrapText="1"/>
    </xf>
    <xf numFmtId="3" fontId="4" fillId="2" borderId="1" xfId="0" applyNumberFormat="1" applyFont="1" applyFill="1" applyBorder="1" applyAlignment="1">
      <alignment horizontal="center" wrapText="1"/>
    </xf>
    <xf numFmtId="3" fontId="8" fillId="2" borderId="8" xfId="0" applyNumberFormat="1" applyFont="1" applyFill="1" applyBorder="1" applyAlignment="1">
      <alignment horizontal="center" vertical="top" wrapText="1"/>
    </xf>
    <xf numFmtId="0" fontId="8" fillId="2" borderId="8" xfId="0" applyFont="1" applyFill="1" applyBorder="1" applyAlignment="1">
      <alignment horizontal="center" vertical="top" wrapText="1"/>
    </xf>
    <xf numFmtId="0" fontId="10" fillId="2" borderId="9" xfId="0" applyFont="1" applyFill="1" applyBorder="1" applyAlignment="1">
      <alignment horizontal="center" vertical="top" wrapText="1"/>
    </xf>
    <xf numFmtId="0" fontId="10" fillId="2" borderId="8" xfId="0" applyFont="1" applyFill="1" applyBorder="1" applyAlignment="1">
      <alignment vertical="top" wrapText="1"/>
    </xf>
    <xf numFmtId="0" fontId="4" fillId="2" borderId="1" xfId="0" applyFont="1" applyFill="1" applyBorder="1" applyAlignment="1">
      <alignment vertical="center" wrapText="1"/>
    </xf>
    <xf numFmtId="3" fontId="3" fillId="2" borderId="1" xfId="0" applyNumberFormat="1" applyFont="1" applyFill="1" applyBorder="1" applyAlignment="1">
      <alignment vertical="center" wrapText="1"/>
    </xf>
    <xf numFmtId="3" fontId="4" fillId="2" borderId="1" xfId="0" applyNumberFormat="1" applyFont="1" applyFill="1" applyBorder="1" applyAlignment="1">
      <alignment vertical="center" wrapText="1"/>
    </xf>
    <xf numFmtId="3" fontId="3" fillId="2" borderId="1" xfId="0" applyNumberFormat="1" applyFont="1" applyFill="1" applyBorder="1" applyAlignment="1">
      <alignment horizontal="center" wrapText="1"/>
    </xf>
    <xf numFmtId="16" fontId="1" fillId="2" borderId="1" xfId="0" applyNumberFormat="1" applyFont="1" applyFill="1" applyBorder="1" applyAlignment="1">
      <alignment horizontal="center" vertical="center" wrapText="1"/>
    </xf>
    <xf numFmtId="0" fontId="10" fillId="2" borderId="10" xfId="0" applyFont="1" applyFill="1" applyBorder="1" applyAlignment="1">
      <alignment horizontal="center" vertical="top" wrapText="1"/>
    </xf>
    <xf numFmtId="3" fontId="9" fillId="2" borderId="9" xfId="0" applyNumberFormat="1" applyFont="1" applyFill="1" applyBorder="1" applyAlignment="1">
      <alignment horizontal="center" vertical="center" wrapText="1"/>
    </xf>
    <xf numFmtId="3" fontId="3" fillId="2" borderId="3" xfId="0" applyNumberFormat="1" applyFont="1" applyFill="1" applyBorder="1" applyAlignment="1">
      <alignment horizontal="center" wrapText="1"/>
    </xf>
    <xf numFmtId="3" fontId="9" fillId="2" borderId="10" xfId="0" applyNumberFormat="1" applyFont="1" applyFill="1" applyBorder="1" applyAlignment="1">
      <alignment horizontal="center" vertical="top" wrapText="1"/>
    </xf>
    <xf numFmtId="3" fontId="9" fillId="2" borderId="10"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3" fontId="8" fillId="2" borderId="8" xfId="0" applyNumberFormat="1" applyFont="1" applyFill="1" applyBorder="1" applyAlignment="1">
      <alignment horizontal="center" vertical="center" wrapText="1"/>
    </xf>
    <xf numFmtId="3" fontId="4" fillId="2" borderId="3" xfId="0" applyNumberFormat="1" applyFont="1" applyFill="1" applyBorder="1" applyAlignment="1">
      <alignment horizontal="center" vertical="center" wrapText="1"/>
    </xf>
    <xf numFmtId="0" fontId="4" fillId="2" borderId="6" xfId="0" applyFont="1" applyFill="1" applyBorder="1" applyAlignment="1">
      <alignment vertical="center" wrapText="1"/>
    </xf>
    <xf numFmtId="0" fontId="9" fillId="2" borderId="10" xfId="0" applyFont="1" applyFill="1" applyBorder="1" applyAlignment="1">
      <alignment horizontal="justify" vertical="top" wrapText="1"/>
    </xf>
    <xf numFmtId="0" fontId="10" fillId="2" borderId="17" xfId="0" applyFont="1" applyFill="1" applyBorder="1" applyAlignment="1">
      <alignment horizontal="center" vertical="top" wrapText="1"/>
    </xf>
    <xf numFmtId="0" fontId="4" fillId="2" borderId="4" xfId="0" applyFont="1" applyFill="1" applyBorder="1" applyAlignment="1">
      <alignment horizontal="center" vertical="center" wrapText="1"/>
    </xf>
    <xf numFmtId="3" fontId="9" fillId="2" borderId="1" xfId="0" applyNumberFormat="1" applyFont="1" applyFill="1" applyBorder="1" applyAlignment="1">
      <alignment horizontal="center" vertical="top" wrapText="1"/>
    </xf>
    <xf numFmtId="0" fontId="12" fillId="2" borderId="1" xfId="0"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4" fillId="2" borderId="1" xfId="0" applyFont="1" applyFill="1" applyBorder="1" applyAlignment="1">
      <alignment horizontal="justify" vertical="center" wrapText="1"/>
    </xf>
    <xf numFmtId="0" fontId="4" fillId="2" borderId="2" xfId="0" applyFont="1" applyFill="1" applyBorder="1" applyAlignment="1">
      <alignment horizontal="left" wrapText="1"/>
    </xf>
    <xf numFmtId="0" fontId="7"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3" fillId="2" borderId="3" xfId="0" applyFont="1" applyFill="1" applyBorder="1" applyAlignment="1">
      <alignment horizontal="center" vertical="top" wrapText="1"/>
    </xf>
    <xf numFmtId="0" fontId="4" fillId="2" borderId="2" xfId="0" applyFont="1" applyFill="1" applyBorder="1" applyAlignment="1">
      <alignment horizontal="center" wrapText="1"/>
    </xf>
    <xf numFmtId="3" fontId="4" fillId="2" borderId="6" xfId="0" applyNumberFormat="1" applyFont="1" applyFill="1" applyBorder="1" applyAlignment="1">
      <alignment horizontal="center"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49" fontId="5" fillId="3" borderId="1" xfId="0" applyNumberFormat="1" applyFont="1" applyFill="1" applyBorder="1" applyAlignment="1">
      <alignment vertical="top" wrapText="1"/>
    </xf>
    <xf numFmtId="0" fontId="16" fillId="2" borderId="1" xfId="0" applyFont="1" applyFill="1" applyBorder="1" applyAlignment="1">
      <alignment horizontal="center" vertical="top" wrapText="1"/>
    </xf>
    <xf numFmtId="0" fontId="17" fillId="2" borderId="1" xfId="0" applyFont="1" applyFill="1" applyBorder="1" applyAlignment="1">
      <alignment horizontal="center" vertical="center" wrapText="1"/>
    </xf>
    <xf numFmtId="0" fontId="5" fillId="2" borderId="2" xfId="0" applyFont="1" applyFill="1" applyBorder="1" applyAlignment="1">
      <alignment horizontal="center" vertical="top" wrapText="1"/>
    </xf>
    <xf numFmtId="0" fontId="5" fillId="2" borderId="7"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2" borderId="18" xfId="0" applyFont="1" applyFill="1" applyBorder="1" applyAlignment="1">
      <alignment horizontal="center" vertical="top" wrapText="1"/>
    </xf>
    <xf numFmtId="49" fontId="5" fillId="2" borderId="2" xfId="0" applyNumberFormat="1" applyFont="1" applyFill="1" applyBorder="1" applyAlignment="1">
      <alignment horizontal="center" vertical="top" wrapText="1"/>
    </xf>
    <xf numFmtId="49" fontId="5" fillId="2" borderId="7"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wrapText="1"/>
    </xf>
    <xf numFmtId="0" fontId="1" fillId="2" borderId="4" xfId="0" applyFont="1" applyFill="1" applyBorder="1" applyAlignment="1">
      <alignment horizontal="right" wrapText="1"/>
    </xf>
    <xf numFmtId="0" fontId="1" fillId="2" borderId="5" xfId="0" applyFont="1" applyFill="1" applyBorder="1" applyAlignment="1">
      <alignment horizontal="right" wrapText="1"/>
    </xf>
    <xf numFmtId="0" fontId="1" fillId="2" borderId="6" xfId="0" applyFont="1" applyFill="1" applyBorder="1" applyAlignment="1">
      <alignment horizontal="right" wrapText="1"/>
    </xf>
    <xf numFmtId="0" fontId="3" fillId="2" borderId="0" xfId="0" applyFont="1" applyFill="1" applyAlignment="1">
      <alignment horizontal="center" vertical="center" wrapText="1"/>
    </xf>
    <xf numFmtId="0" fontId="1" fillId="2" borderId="2" xfId="0" applyNumberFormat="1" applyFont="1" applyFill="1" applyBorder="1" applyAlignment="1">
      <alignment horizontal="center" vertical="center" wrapText="1"/>
    </xf>
    <xf numFmtId="0" fontId="1" fillId="2" borderId="7" xfId="0" applyNumberFormat="1" applyFont="1" applyFill="1" applyBorder="1" applyAlignment="1">
      <alignment horizontal="center" vertical="center" wrapText="1"/>
    </xf>
    <xf numFmtId="0" fontId="1" fillId="2" borderId="3"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3" fontId="1" fillId="2" borderId="4" xfId="0" applyNumberFormat="1" applyFont="1" applyFill="1" applyBorder="1" applyAlignment="1">
      <alignment horizontal="center" vertical="center" wrapText="1"/>
    </xf>
    <xf numFmtId="3" fontId="1" fillId="2" borderId="6"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wrapText="1"/>
    </xf>
    <xf numFmtId="0" fontId="1" fillId="2" borderId="5" xfId="0" applyNumberFormat="1" applyFont="1" applyFill="1" applyBorder="1" applyAlignment="1">
      <alignment horizontal="center" vertical="center" wrapText="1"/>
    </xf>
    <xf numFmtId="0" fontId="1" fillId="2" borderId="6" xfId="0" applyNumberFormat="1" applyFont="1" applyFill="1" applyBorder="1" applyAlignment="1">
      <alignment horizontal="center" vertical="center" wrapText="1"/>
    </xf>
    <xf numFmtId="0" fontId="1" fillId="2" borderId="12" xfId="0" applyNumberFormat="1" applyFont="1" applyFill="1" applyBorder="1" applyAlignment="1">
      <alignment horizontal="center" vertical="center" wrapText="1"/>
    </xf>
    <xf numFmtId="0" fontId="1" fillId="2" borderId="13" xfId="0" applyNumberFormat="1" applyFont="1" applyFill="1" applyBorder="1" applyAlignment="1">
      <alignment horizontal="center" vertical="center" wrapText="1"/>
    </xf>
    <xf numFmtId="0" fontId="1" fillId="2" borderId="11" xfId="0" applyNumberFormat="1" applyFont="1" applyFill="1" applyBorder="1" applyAlignment="1">
      <alignment horizontal="center" vertical="center" wrapText="1"/>
    </xf>
    <xf numFmtId="0" fontId="1" fillId="2" borderId="0" xfId="0" applyNumberFormat="1" applyFont="1" applyFill="1" applyBorder="1" applyAlignment="1">
      <alignment horizontal="center" vertical="center" wrapText="1"/>
    </xf>
    <xf numFmtId="0" fontId="1" fillId="2" borderId="16" xfId="0" applyNumberFormat="1" applyFont="1" applyFill="1" applyBorder="1" applyAlignment="1">
      <alignment horizontal="center" vertical="center" wrapText="1"/>
    </xf>
    <xf numFmtId="0" fontId="1" fillId="2" borderId="14" xfId="0" applyNumberFormat="1" applyFont="1" applyFill="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685800</xdr:colOff>
      <xdr:row>126</xdr:row>
      <xdr:rowOff>0</xdr:rowOff>
    </xdr:from>
    <xdr:ext cx="184731" cy="264560"/>
    <xdr:sp macro="" textlink="">
      <xdr:nvSpPr>
        <xdr:cNvPr id="2" name="TextBox 1"/>
        <xdr:cNvSpPr txBox="1"/>
      </xdr:nvSpPr>
      <xdr:spPr>
        <a:xfrm>
          <a:off x="1123950" y="2864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1</xdr:col>
      <xdr:colOff>685800</xdr:colOff>
      <xdr:row>129</xdr:row>
      <xdr:rowOff>76200</xdr:rowOff>
    </xdr:from>
    <xdr:ext cx="184731" cy="264560"/>
    <xdr:sp macro="" textlink="">
      <xdr:nvSpPr>
        <xdr:cNvPr id="3" name="TextBox 2"/>
        <xdr:cNvSpPr txBox="1"/>
      </xdr:nvSpPr>
      <xdr:spPr>
        <a:xfrm>
          <a:off x="1190625" y="5334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3"/>
  <sheetViews>
    <sheetView tabSelected="1" view="pageBreakPreview" zoomScaleNormal="100" zoomScaleSheetLayoutView="100" zoomScalePageLayoutView="75" workbookViewId="0">
      <selection activeCell="B8" sqref="B8"/>
    </sheetView>
  </sheetViews>
  <sheetFormatPr defaultRowHeight="15.75"/>
  <cols>
    <col min="1" max="1" width="8.140625" style="8" customWidth="1"/>
    <col min="2" max="2" width="63.85546875" style="1" customWidth="1"/>
    <col min="3" max="3" width="48.5703125" style="1" customWidth="1"/>
    <col min="4" max="4" width="22.5703125" style="6" customWidth="1"/>
    <col min="5" max="5" width="11.85546875" style="27" customWidth="1"/>
    <col min="6" max="6" width="11" style="27" customWidth="1"/>
    <col min="7" max="16384" width="9.140625" style="1"/>
  </cols>
  <sheetData>
    <row r="1" spans="1:6" ht="35.25" customHeight="1">
      <c r="A1" s="100" t="s">
        <v>50</v>
      </c>
      <c r="B1" s="100"/>
      <c r="C1" s="100"/>
      <c r="D1" s="100"/>
      <c r="E1" s="100"/>
      <c r="F1" s="100"/>
    </row>
    <row r="2" spans="1:6" ht="40.5" customHeight="1">
      <c r="A2" s="100" t="s">
        <v>76</v>
      </c>
      <c r="B2" s="100"/>
      <c r="C2" s="100"/>
      <c r="D2" s="100"/>
      <c r="E2" s="100"/>
      <c r="F2" s="100"/>
    </row>
    <row r="3" spans="1:6">
      <c r="A3" s="101" t="s">
        <v>0</v>
      </c>
      <c r="B3" s="104" t="s">
        <v>1</v>
      </c>
      <c r="C3" s="107" t="s">
        <v>2</v>
      </c>
      <c r="D3" s="108"/>
      <c r="E3" s="108"/>
      <c r="F3" s="109"/>
    </row>
    <row r="4" spans="1:6">
      <c r="A4" s="102"/>
      <c r="B4" s="105"/>
      <c r="C4" s="110" t="s">
        <v>51</v>
      </c>
      <c r="D4" s="104" t="s">
        <v>3</v>
      </c>
      <c r="E4" s="111" t="s">
        <v>4</v>
      </c>
      <c r="F4" s="112"/>
    </row>
    <row r="5" spans="1:6">
      <c r="A5" s="103"/>
      <c r="B5" s="106"/>
      <c r="C5" s="110"/>
      <c r="D5" s="106"/>
      <c r="E5" s="33" t="s">
        <v>35</v>
      </c>
      <c r="F5" s="33" t="s">
        <v>36</v>
      </c>
    </row>
    <row r="6" spans="1:6">
      <c r="A6" s="7">
        <v>1</v>
      </c>
      <c r="B6" s="31">
        <v>2</v>
      </c>
      <c r="C6" s="31">
        <v>3</v>
      </c>
      <c r="D6" s="31">
        <v>4</v>
      </c>
      <c r="E6" s="32">
        <v>5</v>
      </c>
      <c r="F6" s="33">
        <v>6</v>
      </c>
    </row>
    <row r="7" spans="1:6" ht="36" customHeight="1">
      <c r="A7" s="113" t="s">
        <v>77</v>
      </c>
      <c r="B7" s="114"/>
      <c r="C7" s="114"/>
      <c r="D7" s="114"/>
      <c r="E7" s="114"/>
      <c r="F7" s="115"/>
    </row>
    <row r="8" spans="1:6" ht="47.25">
      <c r="A8" s="7" t="s">
        <v>6</v>
      </c>
      <c r="B8" s="83" t="s">
        <v>78</v>
      </c>
      <c r="C8" s="17"/>
      <c r="D8" s="15"/>
      <c r="E8" s="22">
        <f>E9</f>
        <v>0</v>
      </c>
      <c r="F8" s="22">
        <f>F9</f>
        <v>480000</v>
      </c>
    </row>
    <row r="9" spans="1:6" ht="78.75">
      <c r="A9" s="30" t="s">
        <v>7</v>
      </c>
      <c r="B9" s="88" t="s">
        <v>197</v>
      </c>
      <c r="C9" s="14" t="s">
        <v>64</v>
      </c>
      <c r="D9" s="71"/>
      <c r="E9" s="72">
        <v>0</v>
      </c>
      <c r="F9" s="72">
        <f>F10+F12</f>
        <v>480000</v>
      </c>
    </row>
    <row r="10" spans="1:6">
      <c r="A10" s="7" t="s">
        <v>8</v>
      </c>
      <c r="B10" s="89"/>
      <c r="C10" s="12" t="s">
        <v>84</v>
      </c>
      <c r="D10" s="71"/>
      <c r="E10" s="72">
        <v>0</v>
      </c>
      <c r="F10" s="72">
        <f>F11</f>
        <v>80000</v>
      </c>
    </row>
    <row r="11" spans="1:6" ht="31.5">
      <c r="A11" s="7"/>
      <c r="B11" s="89"/>
      <c r="C11" s="12" t="s">
        <v>52</v>
      </c>
      <c r="D11" s="23" t="s">
        <v>79</v>
      </c>
      <c r="E11" s="73">
        <v>0</v>
      </c>
      <c r="F11" s="73">
        <v>80000</v>
      </c>
    </row>
    <row r="12" spans="1:6">
      <c r="A12" s="7" t="s">
        <v>40</v>
      </c>
      <c r="B12" s="89"/>
      <c r="C12" s="12" t="s">
        <v>82</v>
      </c>
      <c r="D12" s="20"/>
      <c r="E12" s="72">
        <v>0</v>
      </c>
      <c r="F12" s="72">
        <f>F13+F14</f>
        <v>400000</v>
      </c>
    </row>
    <row r="13" spans="1:6">
      <c r="A13" s="7"/>
      <c r="B13" s="89"/>
      <c r="C13" s="12" t="s">
        <v>85</v>
      </c>
      <c r="D13" s="23" t="s">
        <v>80</v>
      </c>
      <c r="E13" s="73">
        <v>0</v>
      </c>
      <c r="F13" s="73">
        <v>150000</v>
      </c>
    </row>
    <row r="14" spans="1:6">
      <c r="A14" s="7"/>
      <c r="B14" s="90"/>
      <c r="C14" s="12" t="s">
        <v>86</v>
      </c>
      <c r="D14" s="23" t="s">
        <v>81</v>
      </c>
      <c r="E14" s="73">
        <v>0</v>
      </c>
      <c r="F14" s="73">
        <v>250000</v>
      </c>
    </row>
    <row r="15" spans="1:6" ht="36.75" customHeight="1">
      <c r="A15" s="116" t="s">
        <v>87</v>
      </c>
      <c r="B15" s="117"/>
      <c r="C15" s="117"/>
      <c r="D15" s="117"/>
      <c r="E15" s="117"/>
      <c r="F15" s="117"/>
    </row>
    <row r="16" spans="1:6" ht="129.75" customHeight="1">
      <c r="A16" s="7" t="s">
        <v>9</v>
      </c>
      <c r="B16" s="84" t="s">
        <v>88</v>
      </c>
      <c r="C16" s="42"/>
      <c r="D16" s="41"/>
      <c r="E16" s="46">
        <f>E17+E23+E25+E28</f>
        <v>1552000</v>
      </c>
      <c r="F16" s="46">
        <f>F17+F23+F25+F28</f>
        <v>1168000</v>
      </c>
    </row>
    <row r="17" spans="1:6" ht="78.75">
      <c r="A17" s="7" t="s">
        <v>10</v>
      </c>
      <c r="B17" s="88" t="s">
        <v>198</v>
      </c>
      <c r="C17" s="14" t="s">
        <v>83</v>
      </c>
      <c r="D17" s="53"/>
      <c r="E17" s="54">
        <f>E18+E20</f>
        <v>790000</v>
      </c>
      <c r="F17" s="54">
        <f>F18+F20</f>
        <v>660000</v>
      </c>
    </row>
    <row r="18" spans="1:6">
      <c r="A18" s="7" t="s">
        <v>11</v>
      </c>
      <c r="B18" s="89"/>
      <c r="C18" s="12" t="s">
        <v>84</v>
      </c>
      <c r="D18" s="53"/>
      <c r="E18" s="54">
        <f>E19</f>
        <v>120000</v>
      </c>
      <c r="F18" s="54">
        <f>F19</f>
        <v>80000</v>
      </c>
    </row>
    <row r="19" spans="1:6">
      <c r="A19" s="7"/>
      <c r="B19" s="89"/>
      <c r="C19" s="12" t="s">
        <v>52</v>
      </c>
      <c r="D19" s="53" t="s">
        <v>89</v>
      </c>
      <c r="E19" s="55">
        <f>3*40000</f>
        <v>120000</v>
      </c>
      <c r="F19" s="55">
        <f>2*40000</f>
        <v>80000</v>
      </c>
    </row>
    <row r="20" spans="1:6" ht="39.75" customHeight="1">
      <c r="A20" s="7" t="s">
        <v>41</v>
      </c>
      <c r="B20" s="89"/>
      <c r="C20" s="24" t="s">
        <v>57</v>
      </c>
      <c r="D20" s="53"/>
      <c r="E20" s="54">
        <f>SUM(E21:E22)</f>
        <v>670000</v>
      </c>
      <c r="F20" s="54">
        <f>SUM(F21:F22)</f>
        <v>580000</v>
      </c>
    </row>
    <row r="21" spans="1:6" ht="31.5">
      <c r="A21" s="7"/>
      <c r="B21" s="89"/>
      <c r="C21" s="25" t="s">
        <v>97</v>
      </c>
      <c r="D21" s="53" t="s">
        <v>90</v>
      </c>
      <c r="E21" s="55">
        <v>400000</v>
      </c>
      <c r="F21" s="55">
        <v>400000</v>
      </c>
    </row>
    <row r="22" spans="1:6">
      <c r="A22" s="7"/>
      <c r="B22" s="89"/>
      <c r="C22" s="25" t="s">
        <v>98</v>
      </c>
      <c r="D22" s="53" t="s">
        <v>91</v>
      </c>
      <c r="E22" s="55">
        <f>3*90000</f>
        <v>270000</v>
      </c>
      <c r="F22" s="55">
        <f>2*90000</f>
        <v>180000</v>
      </c>
    </row>
    <row r="23" spans="1:6" ht="63">
      <c r="A23" s="57" t="s">
        <v>42</v>
      </c>
      <c r="B23" s="89"/>
      <c r="C23" s="24" t="s">
        <v>99</v>
      </c>
      <c r="D23" s="36"/>
      <c r="E23" s="22">
        <f>E24</f>
        <v>630000</v>
      </c>
      <c r="F23" s="22">
        <f>F24</f>
        <v>420000</v>
      </c>
    </row>
    <row r="24" spans="1:6" ht="31.5">
      <c r="A24" s="7"/>
      <c r="B24" s="89"/>
      <c r="C24" s="25" t="s">
        <v>101</v>
      </c>
      <c r="D24" s="36" t="s">
        <v>92</v>
      </c>
      <c r="E24" s="48">
        <f>210000*3</f>
        <v>630000</v>
      </c>
      <c r="F24" s="48">
        <f>210000*2</f>
        <v>420000</v>
      </c>
    </row>
    <row r="25" spans="1:6" ht="63">
      <c r="A25" s="7" t="s">
        <v>43</v>
      </c>
      <c r="B25" s="89"/>
      <c r="C25" s="24" t="s">
        <v>69</v>
      </c>
      <c r="D25" s="36"/>
      <c r="E25" s="22">
        <f>E26</f>
        <v>45000</v>
      </c>
      <c r="F25" s="22">
        <f>F26</f>
        <v>30000</v>
      </c>
    </row>
    <row r="26" spans="1:6">
      <c r="A26" s="7" t="s">
        <v>44</v>
      </c>
      <c r="B26" s="89"/>
      <c r="C26" s="24" t="s">
        <v>55</v>
      </c>
      <c r="D26" s="36"/>
      <c r="E26" s="56">
        <f>E27</f>
        <v>45000</v>
      </c>
      <c r="F26" s="56">
        <f>F27</f>
        <v>30000</v>
      </c>
    </row>
    <row r="27" spans="1:6" ht="31.5">
      <c r="A27" s="7"/>
      <c r="B27" s="89"/>
      <c r="C27" s="25" t="s">
        <v>100</v>
      </c>
      <c r="D27" s="36" t="s">
        <v>93</v>
      </c>
      <c r="E27" s="48">
        <f>3*3*5000</f>
        <v>45000</v>
      </c>
      <c r="F27" s="48">
        <f>2*3*5000</f>
        <v>30000</v>
      </c>
    </row>
    <row r="28" spans="1:6" ht="63">
      <c r="A28" s="7" t="s">
        <v>70</v>
      </c>
      <c r="B28" s="89"/>
      <c r="C28" s="24" t="s">
        <v>72</v>
      </c>
      <c r="D28" s="23"/>
      <c r="E28" s="56">
        <f>E29</f>
        <v>87000</v>
      </c>
      <c r="F28" s="56">
        <f>F29</f>
        <v>58000</v>
      </c>
    </row>
    <row r="29" spans="1:6" ht="31.5">
      <c r="A29" s="7" t="s">
        <v>71</v>
      </c>
      <c r="B29" s="89"/>
      <c r="C29" s="24" t="s">
        <v>56</v>
      </c>
      <c r="D29" s="23"/>
      <c r="E29" s="56">
        <f>SUM(E30:E32)</f>
        <v>87000</v>
      </c>
      <c r="F29" s="56">
        <f>SUM(F30:F32)</f>
        <v>58000</v>
      </c>
    </row>
    <row r="30" spans="1:6" ht="31.5">
      <c r="A30" s="7"/>
      <c r="B30" s="90"/>
      <c r="C30" s="25" t="s">
        <v>102</v>
      </c>
      <c r="D30" s="23" t="s">
        <v>94</v>
      </c>
      <c r="E30" s="48">
        <f>2*3*3000</f>
        <v>18000</v>
      </c>
      <c r="F30" s="48">
        <f>2*2*3000</f>
        <v>12000</v>
      </c>
    </row>
    <row r="31" spans="1:6">
      <c r="A31" s="7"/>
      <c r="B31" s="16"/>
      <c r="C31" s="25" t="s">
        <v>103</v>
      </c>
      <c r="D31" s="23" t="s">
        <v>95</v>
      </c>
      <c r="E31" s="48">
        <f>20000*3</f>
        <v>60000</v>
      </c>
      <c r="F31" s="48">
        <f>20000*2</f>
        <v>40000</v>
      </c>
    </row>
    <row r="32" spans="1:6" ht="31.5">
      <c r="A32" s="7"/>
      <c r="B32" s="16"/>
      <c r="C32" s="25" t="s">
        <v>104</v>
      </c>
      <c r="D32" s="23" t="s">
        <v>96</v>
      </c>
      <c r="E32" s="48">
        <f>2*3*1500</f>
        <v>9000</v>
      </c>
      <c r="F32" s="48">
        <f>2*2*1500</f>
        <v>6000</v>
      </c>
    </row>
    <row r="33" spans="1:6" ht="126">
      <c r="A33" s="13" t="s">
        <v>12</v>
      </c>
      <c r="B33" s="84" t="s">
        <v>105</v>
      </c>
      <c r="C33" s="42"/>
      <c r="D33" s="51"/>
      <c r="E33" s="59">
        <f>E34+E38+E43</f>
        <v>558000</v>
      </c>
      <c r="F33" s="59">
        <f>F34+F38+F43</f>
        <v>558000</v>
      </c>
    </row>
    <row r="34" spans="1:6" ht="58.5" customHeight="1">
      <c r="A34" s="13" t="s">
        <v>13</v>
      </c>
      <c r="B34" s="21"/>
      <c r="C34" s="24" t="s">
        <v>67</v>
      </c>
      <c r="D34" s="36"/>
      <c r="E34" s="56">
        <f>SUM(E35:E37)</f>
        <v>380000</v>
      </c>
      <c r="F34" s="56">
        <f>SUM(F35:F37)</f>
        <v>380000</v>
      </c>
    </row>
    <row r="35" spans="1:6" ht="252">
      <c r="A35" s="7"/>
      <c r="B35" s="94" t="s">
        <v>199</v>
      </c>
      <c r="C35" s="74" t="s">
        <v>112</v>
      </c>
      <c r="D35" s="25" t="s">
        <v>106</v>
      </c>
      <c r="E35" s="73">
        <f>160000*2</f>
        <v>320000</v>
      </c>
      <c r="F35" s="73">
        <f>160000*2</f>
        <v>320000</v>
      </c>
    </row>
    <row r="36" spans="1:6" ht="35.25" customHeight="1">
      <c r="A36" s="7"/>
      <c r="B36" s="95"/>
      <c r="C36" s="23" t="s">
        <v>113</v>
      </c>
      <c r="D36" s="36" t="s">
        <v>107</v>
      </c>
      <c r="E36" s="48">
        <f>2*20000</f>
        <v>40000</v>
      </c>
      <c r="F36" s="48">
        <f>2*20000</f>
        <v>40000</v>
      </c>
    </row>
    <row r="37" spans="1:6" ht="31.5">
      <c r="A37" s="7"/>
      <c r="B37" s="95"/>
      <c r="C37" s="23" t="s">
        <v>114</v>
      </c>
      <c r="D37" s="36" t="s">
        <v>108</v>
      </c>
      <c r="E37" s="48">
        <f>10000*2</f>
        <v>20000</v>
      </c>
      <c r="F37" s="48">
        <f>2*10000</f>
        <v>20000</v>
      </c>
    </row>
    <row r="38" spans="1:6" ht="63">
      <c r="A38" s="7" t="s">
        <v>45</v>
      </c>
      <c r="B38" s="95"/>
      <c r="C38" s="24" t="s">
        <v>69</v>
      </c>
      <c r="D38" s="36"/>
      <c r="E38" s="56">
        <f>E39</f>
        <v>78000</v>
      </c>
      <c r="F38" s="56">
        <f>F39</f>
        <v>78000</v>
      </c>
    </row>
    <row r="39" spans="1:6">
      <c r="A39" s="7" t="s">
        <v>46</v>
      </c>
      <c r="B39" s="95"/>
      <c r="C39" s="24" t="s">
        <v>55</v>
      </c>
      <c r="D39" s="36"/>
      <c r="E39" s="56">
        <f>SUM(E40:E42)</f>
        <v>78000</v>
      </c>
      <c r="F39" s="56">
        <f>SUM(F40:F42)</f>
        <v>78000</v>
      </c>
    </row>
    <row r="40" spans="1:6" ht="31.5">
      <c r="A40" s="7"/>
      <c r="B40" s="95"/>
      <c r="C40" s="23" t="s">
        <v>100</v>
      </c>
      <c r="D40" s="36" t="s">
        <v>109</v>
      </c>
      <c r="E40" s="48">
        <f>3*2*5000</f>
        <v>30000</v>
      </c>
      <c r="F40" s="48">
        <f>3*2*5000</f>
        <v>30000</v>
      </c>
    </row>
    <row r="41" spans="1:6" ht="31.5">
      <c r="A41" s="7"/>
      <c r="B41" s="95"/>
      <c r="C41" s="23" t="s">
        <v>115</v>
      </c>
      <c r="D41" s="36" t="s">
        <v>110</v>
      </c>
      <c r="E41" s="48">
        <f>2*2*6000</f>
        <v>24000</v>
      </c>
      <c r="F41" s="48">
        <f>2*2*6000</f>
        <v>24000</v>
      </c>
    </row>
    <row r="42" spans="1:6" ht="31.5">
      <c r="A42" s="7"/>
      <c r="B42" s="95"/>
      <c r="C42" s="23" t="s">
        <v>116</v>
      </c>
      <c r="D42" s="36" t="s">
        <v>110</v>
      </c>
      <c r="E42" s="48">
        <f>2*2*6000</f>
        <v>24000</v>
      </c>
      <c r="F42" s="48">
        <f>2*2*6000</f>
        <v>24000</v>
      </c>
    </row>
    <row r="43" spans="1:6" ht="78.75">
      <c r="A43" s="7" t="s">
        <v>47</v>
      </c>
      <c r="B43" s="95"/>
      <c r="C43" s="14" t="s">
        <v>83</v>
      </c>
      <c r="D43" s="36"/>
      <c r="E43" s="56">
        <f>E44</f>
        <v>100000</v>
      </c>
      <c r="F43" s="56">
        <f>F44</f>
        <v>100000</v>
      </c>
    </row>
    <row r="44" spans="1:6">
      <c r="A44" s="7" t="s">
        <v>48</v>
      </c>
      <c r="B44" s="95"/>
      <c r="C44" s="12" t="s">
        <v>84</v>
      </c>
      <c r="D44" s="36"/>
      <c r="E44" s="56">
        <f>E45</f>
        <v>100000</v>
      </c>
      <c r="F44" s="56">
        <f>F45</f>
        <v>100000</v>
      </c>
    </row>
    <row r="45" spans="1:6" ht="31.5">
      <c r="A45" s="7"/>
      <c r="B45" s="96"/>
      <c r="C45" s="23" t="s">
        <v>117</v>
      </c>
      <c r="D45" s="36" t="s">
        <v>111</v>
      </c>
      <c r="E45" s="48">
        <f>2*50000</f>
        <v>100000</v>
      </c>
      <c r="F45" s="48">
        <f>2*50000</f>
        <v>100000</v>
      </c>
    </row>
    <row r="46" spans="1:6" ht="150.75" customHeight="1">
      <c r="A46" s="7" t="s">
        <v>14</v>
      </c>
      <c r="B46" s="85" t="s">
        <v>118</v>
      </c>
      <c r="C46" s="42"/>
      <c r="D46" s="58"/>
      <c r="E46" s="62">
        <f>E47+E54</f>
        <v>684500</v>
      </c>
      <c r="F46" s="62">
        <f>F47+F54</f>
        <v>684500</v>
      </c>
    </row>
    <row r="47" spans="1:6" ht="78.75">
      <c r="A47" s="7" t="s">
        <v>15</v>
      </c>
      <c r="B47" s="94" t="s">
        <v>200</v>
      </c>
      <c r="C47" s="14" t="s">
        <v>83</v>
      </c>
      <c r="D47" s="38"/>
      <c r="E47" s="37">
        <f>E48+E50+E52</f>
        <v>450000</v>
      </c>
      <c r="F47" s="37">
        <f>F48+F50+F52</f>
        <v>450000</v>
      </c>
    </row>
    <row r="48" spans="1:6">
      <c r="A48" s="7" t="s">
        <v>16</v>
      </c>
      <c r="B48" s="95"/>
      <c r="C48" s="12" t="s">
        <v>84</v>
      </c>
      <c r="D48" s="38"/>
      <c r="E48" s="37">
        <f>E49</f>
        <v>200000</v>
      </c>
      <c r="F48" s="37">
        <f>F49</f>
        <v>200000</v>
      </c>
    </row>
    <row r="49" spans="1:6" ht="31.5">
      <c r="A49" s="7"/>
      <c r="B49" s="95"/>
      <c r="C49" s="18" t="s">
        <v>124</v>
      </c>
      <c r="D49" s="36" t="s">
        <v>119</v>
      </c>
      <c r="E49" s="48">
        <f>5*40000</f>
        <v>200000</v>
      </c>
      <c r="F49" s="48">
        <f>5*40000</f>
        <v>200000</v>
      </c>
    </row>
    <row r="50" spans="1:6">
      <c r="A50" s="7" t="s">
        <v>49</v>
      </c>
      <c r="B50" s="95"/>
      <c r="C50" s="18" t="s">
        <v>82</v>
      </c>
      <c r="D50" s="36"/>
      <c r="E50" s="56">
        <f>E51</f>
        <v>150000</v>
      </c>
      <c r="F50" s="56">
        <f>F51</f>
        <v>150000</v>
      </c>
    </row>
    <row r="51" spans="1:6" ht="31.5">
      <c r="A51" s="7"/>
      <c r="B51" s="95"/>
      <c r="C51" s="18" t="s">
        <v>125</v>
      </c>
      <c r="D51" s="35" t="s">
        <v>120</v>
      </c>
      <c r="E51" s="48">
        <f>5*30000</f>
        <v>150000</v>
      </c>
      <c r="F51" s="48">
        <f>5*30000</f>
        <v>150000</v>
      </c>
    </row>
    <row r="52" spans="1:6">
      <c r="A52" s="7" t="s">
        <v>128</v>
      </c>
      <c r="B52" s="95"/>
      <c r="C52" s="18" t="s">
        <v>127</v>
      </c>
      <c r="D52" s="36"/>
      <c r="E52" s="56">
        <f>E53</f>
        <v>100000</v>
      </c>
      <c r="F52" s="56">
        <f>F53</f>
        <v>100000</v>
      </c>
    </row>
    <row r="53" spans="1:6" ht="31.5">
      <c r="A53" s="7"/>
      <c r="B53" s="95"/>
      <c r="C53" s="18" t="s">
        <v>126</v>
      </c>
      <c r="D53" s="36" t="s">
        <v>121</v>
      </c>
      <c r="E53" s="48">
        <f>5*20000</f>
        <v>100000</v>
      </c>
      <c r="F53" s="48">
        <f>5*20000</f>
        <v>100000</v>
      </c>
    </row>
    <row r="54" spans="1:6" ht="47.25">
      <c r="A54" s="7" t="s">
        <v>61</v>
      </c>
      <c r="B54" s="95"/>
      <c r="C54" s="24" t="s">
        <v>67</v>
      </c>
      <c r="D54" s="75"/>
      <c r="E54" s="56">
        <f>SUM(E55:E56)</f>
        <v>234500</v>
      </c>
      <c r="F54" s="56">
        <f>SUM(F55:F56)</f>
        <v>234500</v>
      </c>
    </row>
    <row r="55" spans="1:6" ht="57.75" customHeight="1">
      <c r="A55" s="7"/>
      <c r="B55" s="95"/>
      <c r="C55" s="23" t="s">
        <v>129</v>
      </c>
      <c r="D55" s="23" t="s">
        <v>122</v>
      </c>
      <c r="E55" s="48">
        <f>10000*5</f>
        <v>50000</v>
      </c>
      <c r="F55" s="48">
        <f>10000*5</f>
        <v>50000</v>
      </c>
    </row>
    <row r="56" spans="1:6" ht="153" customHeight="1">
      <c r="A56" s="7"/>
      <c r="B56" s="96"/>
      <c r="C56" s="76" t="s">
        <v>130</v>
      </c>
      <c r="D56" s="36" t="s">
        <v>123</v>
      </c>
      <c r="E56" s="48">
        <f>5*36900</f>
        <v>184500</v>
      </c>
      <c r="F56" s="48">
        <f>5*36900</f>
        <v>184500</v>
      </c>
    </row>
    <row r="57" spans="1:6" ht="70.5" customHeight="1">
      <c r="A57" s="118" t="s">
        <v>131</v>
      </c>
      <c r="B57" s="119"/>
      <c r="C57" s="119"/>
      <c r="D57" s="119"/>
      <c r="E57" s="119"/>
      <c r="F57" s="120"/>
    </row>
    <row r="58" spans="1:6" ht="110.25">
      <c r="A58" s="7" t="s">
        <v>17</v>
      </c>
      <c r="B58" s="85" t="s">
        <v>132</v>
      </c>
      <c r="C58" s="39"/>
      <c r="D58" s="50"/>
      <c r="E58" s="64">
        <f>E59</f>
        <v>515000</v>
      </c>
      <c r="F58" s="64">
        <f>F59</f>
        <v>0</v>
      </c>
    </row>
    <row r="59" spans="1:6" ht="69.75" customHeight="1">
      <c r="A59" s="7" t="s">
        <v>18</v>
      </c>
      <c r="B59" s="94" t="s">
        <v>201</v>
      </c>
      <c r="C59" s="14" t="s">
        <v>83</v>
      </c>
      <c r="D59" s="77"/>
      <c r="E59" s="63">
        <f>E60+E62+E65</f>
        <v>515000</v>
      </c>
      <c r="F59" s="63">
        <f>F60+F62+F65</f>
        <v>0</v>
      </c>
    </row>
    <row r="60" spans="1:6" ht="34.5" customHeight="1">
      <c r="A60" s="7" t="s">
        <v>19</v>
      </c>
      <c r="B60" s="95"/>
      <c r="C60" s="12" t="s">
        <v>84</v>
      </c>
      <c r="D60" s="78"/>
      <c r="E60" s="63">
        <f>E61</f>
        <v>350000</v>
      </c>
      <c r="F60" s="63">
        <v>0</v>
      </c>
    </row>
    <row r="61" spans="1:6" ht="36.75" customHeight="1">
      <c r="A61" s="7"/>
      <c r="B61" s="95"/>
      <c r="C61" s="23" t="s">
        <v>97</v>
      </c>
      <c r="D61" s="79" t="s">
        <v>133</v>
      </c>
      <c r="E61" s="65">
        <v>350000</v>
      </c>
      <c r="F61" s="65">
        <v>0</v>
      </c>
    </row>
    <row r="62" spans="1:6" ht="24.75" customHeight="1">
      <c r="A62" s="7" t="s">
        <v>74</v>
      </c>
      <c r="B62" s="95"/>
      <c r="C62" s="18" t="s">
        <v>127</v>
      </c>
      <c r="D62" s="79"/>
      <c r="E62" s="63">
        <f>SUM(E63:E64)</f>
        <v>65000</v>
      </c>
      <c r="F62" s="63">
        <f>SUM(F63:F64)</f>
        <v>0</v>
      </c>
    </row>
    <row r="63" spans="1:6">
      <c r="A63" s="7"/>
      <c r="B63" s="95"/>
      <c r="C63" s="23" t="s">
        <v>136</v>
      </c>
      <c r="D63" s="79" t="s">
        <v>134</v>
      </c>
      <c r="E63" s="65">
        <v>50000</v>
      </c>
      <c r="F63" s="65">
        <v>0</v>
      </c>
    </row>
    <row r="64" spans="1:6">
      <c r="A64" s="7"/>
      <c r="B64" s="95"/>
      <c r="C64" s="23" t="s">
        <v>137</v>
      </c>
      <c r="D64" s="79" t="s">
        <v>135</v>
      </c>
      <c r="E64" s="65">
        <v>15000</v>
      </c>
      <c r="F64" s="65">
        <v>0</v>
      </c>
    </row>
    <row r="65" spans="1:6" ht="23.25" customHeight="1">
      <c r="A65" s="7" t="s">
        <v>75</v>
      </c>
      <c r="B65" s="95"/>
      <c r="C65" s="18" t="s">
        <v>82</v>
      </c>
      <c r="D65" s="79"/>
      <c r="E65" s="63">
        <f>E66</f>
        <v>100000</v>
      </c>
      <c r="F65" s="63">
        <f>F66</f>
        <v>0</v>
      </c>
    </row>
    <row r="66" spans="1:6" ht="41.25" customHeight="1">
      <c r="A66" s="7"/>
      <c r="B66" s="96"/>
      <c r="C66" s="23" t="s">
        <v>37</v>
      </c>
      <c r="D66" s="79" t="s">
        <v>138</v>
      </c>
      <c r="E66" s="65">
        <v>100000</v>
      </c>
      <c r="F66" s="65">
        <v>0</v>
      </c>
    </row>
    <row r="67" spans="1:6" ht="47.25">
      <c r="A67" s="7" t="s">
        <v>20</v>
      </c>
      <c r="B67" s="84" t="s">
        <v>139</v>
      </c>
      <c r="C67" s="42"/>
      <c r="D67" s="44"/>
      <c r="E67" s="49">
        <f>E68</f>
        <v>1234950</v>
      </c>
      <c r="F67" s="49">
        <f>F68</f>
        <v>1234950</v>
      </c>
    </row>
    <row r="68" spans="1:6" ht="78.75">
      <c r="A68" s="7" t="s">
        <v>21</v>
      </c>
      <c r="B68" s="88" t="s">
        <v>202</v>
      </c>
      <c r="C68" s="80" t="s">
        <v>65</v>
      </c>
      <c r="D68" s="78"/>
      <c r="E68" s="63">
        <f>E69</f>
        <v>1234950</v>
      </c>
      <c r="F68" s="63">
        <f>F69</f>
        <v>1234950</v>
      </c>
    </row>
    <row r="69" spans="1:6" ht="31.5">
      <c r="A69" s="7" t="s">
        <v>22</v>
      </c>
      <c r="B69" s="89"/>
      <c r="C69" s="20" t="s">
        <v>66</v>
      </c>
      <c r="D69" s="78"/>
      <c r="E69" s="63">
        <f>SUM(E70:E86)</f>
        <v>1234950</v>
      </c>
      <c r="F69" s="63">
        <f>SUM(F70:F86)</f>
        <v>1234950</v>
      </c>
    </row>
    <row r="70" spans="1:6" ht="97.5">
      <c r="A70" s="7"/>
      <c r="B70" s="89"/>
      <c r="C70" s="23" t="s">
        <v>157</v>
      </c>
      <c r="D70" s="79" t="s">
        <v>140</v>
      </c>
      <c r="E70" s="65">
        <v>288750</v>
      </c>
      <c r="F70" s="65">
        <v>288750</v>
      </c>
    </row>
    <row r="71" spans="1:6" ht="31.5">
      <c r="A71" s="7"/>
      <c r="B71" s="89"/>
      <c r="C71" s="28" t="s">
        <v>158</v>
      </c>
      <c r="D71" s="23" t="s">
        <v>141</v>
      </c>
      <c r="E71" s="65">
        <f>3*5000</f>
        <v>15000</v>
      </c>
      <c r="F71" s="65">
        <f>3*5000</f>
        <v>15000</v>
      </c>
    </row>
    <row r="72" spans="1:6" ht="31.5">
      <c r="A72" s="7"/>
      <c r="B72" s="89"/>
      <c r="C72" s="23" t="s">
        <v>159</v>
      </c>
      <c r="D72" s="23" t="s">
        <v>142</v>
      </c>
      <c r="E72" s="65">
        <f>69600*3</f>
        <v>208800</v>
      </c>
      <c r="F72" s="65">
        <f>69600*3</f>
        <v>208800</v>
      </c>
    </row>
    <row r="73" spans="1:6" ht="31.5">
      <c r="A73" s="7"/>
      <c r="B73" s="89"/>
      <c r="C73" s="28" t="s">
        <v>160</v>
      </c>
      <c r="D73" s="23" t="s">
        <v>143</v>
      </c>
      <c r="E73" s="65">
        <f>43500*3</f>
        <v>130500</v>
      </c>
      <c r="F73" s="65">
        <f>43500*3</f>
        <v>130500</v>
      </c>
    </row>
    <row r="74" spans="1:6" ht="31.5">
      <c r="A74" s="7"/>
      <c r="B74" s="89"/>
      <c r="C74" s="28" t="s">
        <v>68</v>
      </c>
      <c r="D74" s="28" t="s">
        <v>144</v>
      </c>
      <c r="E74" s="47">
        <f>24000*3</f>
        <v>72000</v>
      </c>
      <c r="F74" s="47">
        <f>24000*3</f>
        <v>72000</v>
      </c>
    </row>
    <row r="75" spans="1:6" ht="31.5">
      <c r="A75" s="7"/>
      <c r="B75" s="89"/>
      <c r="C75" s="28" t="s">
        <v>39</v>
      </c>
      <c r="D75" s="28" t="s">
        <v>145</v>
      </c>
      <c r="E75" s="47">
        <f>11500*3</f>
        <v>34500</v>
      </c>
      <c r="F75" s="47">
        <f>11500*3</f>
        <v>34500</v>
      </c>
    </row>
    <row r="76" spans="1:6" ht="31.5">
      <c r="A76" s="7"/>
      <c r="B76" s="89"/>
      <c r="C76" s="28" t="s">
        <v>161</v>
      </c>
      <c r="D76" s="28" t="s">
        <v>146</v>
      </c>
      <c r="E76" s="47">
        <f>18500*3</f>
        <v>55500</v>
      </c>
      <c r="F76" s="47">
        <f>18500*3</f>
        <v>55500</v>
      </c>
    </row>
    <row r="77" spans="1:6" ht="31.5">
      <c r="A77" s="7"/>
      <c r="B77" s="89"/>
      <c r="C77" s="28" t="s">
        <v>162</v>
      </c>
      <c r="D77" s="28" t="s">
        <v>147</v>
      </c>
      <c r="E77" s="47">
        <f>14500*3</f>
        <v>43500</v>
      </c>
      <c r="F77" s="47">
        <f>14500*3</f>
        <v>43500</v>
      </c>
    </row>
    <row r="78" spans="1:6" ht="31.5">
      <c r="A78" s="7"/>
      <c r="B78" s="89"/>
      <c r="C78" s="28" t="s">
        <v>163</v>
      </c>
      <c r="D78" s="28" t="s">
        <v>148</v>
      </c>
      <c r="E78" s="47">
        <f>6500*3</f>
        <v>19500</v>
      </c>
      <c r="F78" s="47">
        <f>6500*3</f>
        <v>19500</v>
      </c>
    </row>
    <row r="79" spans="1:6" ht="31.5">
      <c r="A79" s="7"/>
      <c r="B79" s="89"/>
      <c r="C79" s="28" t="s">
        <v>164</v>
      </c>
      <c r="D79" s="28" t="s">
        <v>149</v>
      </c>
      <c r="E79" s="47">
        <f>13500*3</f>
        <v>40500</v>
      </c>
      <c r="F79" s="47">
        <f>13500*3</f>
        <v>40500</v>
      </c>
    </row>
    <row r="80" spans="1:6" ht="31.5">
      <c r="A80" s="29"/>
      <c r="B80" s="89"/>
      <c r="C80" s="28" t="s">
        <v>38</v>
      </c>
      <c r="D80" s="28" t="s">
        <v>150</v>
      </c>
      <c r="E80" s="47">
        <f>9700*3</f>
        <v>29100</v>
      </c>
      <c r="F80" s="47">
        <f>9700*3</f>
        <v>29100</v>
      </c>
    </row>
    <row r="81" spans="1:6" ht="31.5">
      <c r="A81" s="7"/>
      <c r="B81" s="89"/>
      <c r="C81" s="28" t="s">
        <v>165</v>
      </c>
      <c r="D81" s="28" t="s">
        <v>151</v>
      </c>
      <c r="E81" s="47">
        <f>11000*3</f>
        <v>33000</v>
      </c>
      <c r="F81" s="47">
        <f>11000*3</f>
        <v>33000</v>
      </c>
    </row>
    <row r="82" spans="1:6" ht="31.5">
      <c r="A82" s="30"/>
      <c r="B82" s="89"/>
      <c r="C82" s="28" t="s">
        <v>166</v>
      </c>
      <c r="D82" s="28" t="s">
        <v>152</v>
      </c>
      <c r="E82" s="47">
        <f>11700*3</f>
        <v>35100</v>
      </c>
      <c r="F82" s="47">
        <f>11700*3</f>
        <v>35100</v>
      </c>
    </row>
    <row r="83" spans="1:6" ht="31.5">
      <c r="A83" s="7"/>
      <c r="B83" s="90"/>
      <c r="C83" s="28" t="s">
        <v>167</v>
      </c>
      <c r="D83" s="28" t="s">
        <v>153</v>
      </c>
      <c r="E83" s="47">
        <f>12500*3</f>
        <v>37500</v>
      </c>
      <c r="F83" s="47">
        <f>12500*3</f>
        <v>37500</v>
      </c>
    </row>
    <row r="84" spans="1:6" ht="31.5">
      <c r="A84" s="13"/>
      <c r="B84" s="16"/>
      <c r="C84" s="28" t="s">
        <v>168</v>
      </c>
      <c r="D84" s="28" t="s">
        <v>154</v>
      </c>
      <c r="E84" s="47">
        <f>24400*3</f>
        <v>73200</v>
      </c>
      <c r="F84" s="47">
        <f>24400*3</f>
        <v>73200</v>
      </c>
    </row>
    <row r="85" spans="1:6" ht="31.5">
      <c r="A85" s="7"/>
      <c r="B85" s="16"/>
      <c r="C85" s="28" t="s">
        <v>169</v>
      </c>
      <c r="D85" s="28" t="s">
        <v>155</v>
      </c>
      <c r="E85" s="47">
        <f>8500*3</f>
        <v>25500</v>
      </c>
      <c r="F85" s="47">
        <f>8500*3</f>
        <v>25500</v>
      </c>
    </row>
    <row r="86" spans="1:6" ht="31.5">
      <c r="A86" s="7"/>
      <c r="B86" s="16"/>
      <c r="C86" s="81" t="s">
        <v>170</v>
      </c>
      <c r="D86" s="81" t="s">
        <v>156</v>
      </c>
      <c r="E86" s="48">
        <f>31000*3</f>
        <v>93000</v>
      </c>
      <c r="F86" s="48">
        <f>31000*3</f>
        <v>93000</v>
      </c>
    </row>
    <row r="87" spans="1:6" ht="47.25">
      <c r="A87" s="7" t="s">
        <v>23</v>
      </c>
      <c r="B87" s="84" t="s">
        <v>171</v>
      </c>
      <c r="C87" s="52"/>
      <c r="D87" s="44"/>
      <c r="E87" s="64">
        <f>E88+E93</f>
        <v>1066000</v>
      </c>
      <c r="F87" s="64">
        <f>F88+F93</f>
        <v>1066000</v>
      </c>
    </row>
    <row r="88" spans="1:6" ht="78.75">
      <c r="A88" s="7" t="s">
        <v>24</v>
      </c>
      <c r="B88" s="88" t="s">
        <v>203</v>
      </c>
      <c r="C88" s="14" t="s">
        <v>83</v>
      </c>
      <c r="D88" s="78"/>
      <c r="E88" s="60">
        <f>E89+E91</f>
        <v>926000</v>
      </c>
      <c r="F88" s="60">
        <f>F89+F91</f>
        <v>926000</v>
      </c>
    </row>
    <row r="89" spans="1:6">
      <c r="A89" s="7" t="s">
        <v>25</v>
      </c>
      <c r="B89" s="89"/>
      <c r="C89" s="18" t="s">
        <v>127</v>
      </c>
      <c r="D89" s="78"/>
      <c r="E89" s="60">
        <f>E90</f>
        <v>726000</v>
      </c>
      <c r="F89" s="60">
        <f>F90</f>
        <v>726000</v>
      </c>
    </row>
    <row r="90" spans="1:6" ht="31.5">
      <c r="A90" s="7"/>
      <c r="B90" s="89"/>
      <c r="C90" s="87" t="s">
        <v>178</v>
      </c>
      <c r="D90" s="79" t="s">
        <v>172</v>
      </c>
      <c r="E90" s="47">
        <f>242000*3</f>
        <v>726000</v>
      </c>
      <c r="F90" s="47">
        <f>242000*3</f>
        <v>726000</v>
      </c>
    </row>
    <row r="91" spans="1:6">
      <c r="A91" s="7"/>
      <c r="B91" s="89"/>
      <c r="C91" s="12" t="s">
        <v>84</v>
      </c>
      <c r="D91" s="36"/>
      <c r="E91" s="56">
        <f>E92</f>
        <v>200000</v>
      </c>
      <c r="F91" s="56">
        <f>F92</f>
        <v>200000</v>
      </c>
    </row>
    <row r="92" spans="1:6" ht="31.5">
      <c r="A92" s="7"/>
      <c r="B92" s="89"/>
      <c r="C92" s="86" t="s">
        <v>175</v>
      </c>
      <c r="D92" s="36" t="s">
        <v>173</v>
      </c>
      <c r="E92" s="48">
        <f>50000*4</f>
        <v>200000</v>
      </c>
      <c r="F92" s="48">
        <f>50000*4</f>
        <v>200000</v>
      </c>
    </row>
    <row r="93" spans="1:6" ht="78.75">
      <c r="A93" s="7" t="s">
        <v>58</v>
      </c>
      <c r="B93" s="89"/>
      <c r="C93" s="80" t="s">
        <v>65</v>
      </c>
      <c r="D93" s="36"/>
      <c r="E93" s="56">
        <f>E94</f>
        <v>140000</v>
      </c>
      <c r="F93" s="56">
        <f>F94</f>
        <v>140000</v>
      </c>
    </row>
    <row r="94" spans="1:6" ht="108" customHeight="1">
      <c r="A94" s="7" t="s">
        <v>59</v>
      </c>
      <c r="B94" s="89"/>
      <c r="C94" s="20" t="s">
        <v>176</v>
      </c>
      <c r="D94" s="36"/>
      <c r="E94" s="56">
        <f>E95</f>
        <v>140000</v>
      </c>
      <c r="F94" s="56">
        <f>F95</f>
        <v>140000</v>
      </c>
    </row>
    <row r="95" spans="1:6" ht="112.5" customHeight="1">
      <c r="A95" s="7"/>
      <c r="B95" s="90"/>
      <c r="C95" s="86" t="s">
        <v>177</v>
      </c>
      <c r="D95" s="36" t="s">
        <v>174</v>
      </c>
      <c r="E95" s="48">
        <f>35000*4</f>
        <v>140000</v>
      </c>
      <c r="F95" s="48">
        <f>35000*4</f>
        <v>140000</v>
      </c>
    </row>
    <row r="96" spans="1:6" ht="40.5" customHeight="1">
      <c r="A96" s="116" t="s">
        <v>179</v>
      </c>
      <c r="B96" s="117"/>
      <c r="C96" s="117"/>
      <c r="D96" s="117"/>
      <c r="E96" s="117"/>
      <c r="F96" s="121"/>
    </row>
    <row r="97" spans="1:6" ht="63">
      <c r="A97" s="7" t="s">
        <v>26</v>
      </c>
      <c r="B97" s="84" t="s">
        <v>180</v>
      </c>
      <c r="C97" s="42"/>
      <c r="D97" s="44"/>
      <c r="E97" s="64">
        <f t="shared" ref="E97:F99" si="0">E98</f>
        <v>0</v>
      </c>
      <c r="F97" s="64">
        <f t="shared" si="0"/>
        <v>720000</v>
      </c>
    </row>
    <row r="98" spans="1:6" ht="78.75">
      <c r="A98" s="7" t="s">
        <v>27</v>
      </c>
      <c r="B98" s="88" t="s">
        <v>204</v>
      </c>
      <c r="C98" s="14" t="s">
        <v>83</v>
      </c>
      <c r="D98" s="36"/>
      <c r="E98" s="43">
        <f t="shared" si="0"/>
        <v>0</v>
      </c>
      <c r="F98" s="43">
        <f t="shared" si="0"/>
        <v>720000</v>
      </c>
    </row>
    <row r="99" spans="1:6" ht="53.25" customHeight="1">
      <c r="A99" s="7" t="s">
        <v>28</v>
      </c>
      <c r="B99" s="89"/>
      <c r="C99" s="18" t="s">
        <v>82</v>
      </c>
      <c r="D99" s="35"/>
      <c r="E99" s="43">
        <f t="shared" si="0"/>
        <v>0</v>
      </c>
      <c r="F99" s="43">
        <f t="shared" si="0"/>
        <v>720000</v>
      </c>
    </row>
    <row r="100" spans="1:6" ht="44.25" customHeight="1">
      <c r="A100" s="7"/>
      <c r="B100" s="90"/>
      <c r="C100" s="23" t="s">
        <v>182</v>
      </c>
      <c r="D100" s="66" t="s">
        <v>181</v>
      </c>
      <c r="E100" s="48">
        <v>0</v>
      </c>
      <c r="F100" s="48">
        <f>180000*4</f>
        <v>720000</v>
      </c>
    </row>
    <row r="101" spans="1:6">
      <c r="A101" s="116" t="s">
        <v>183</v>
      </c>
      <c r="B101" s="117"/>
      <c r="C101" s="117"/>
      <c r="D101" s="117"/>
      <c r="E101" s="117"/>
      <c r="F101" s="121"/>
    </row>
    <row r="102" spans="1:6" ht="47.25">
      <c r="A102" s="7" t="s">
        <v>29</v>
      </c>
      <c r="B102" s="84" t="s">
        <v>184</v>
      </c>
      <c r="C102" s="39"/>
      <c r="D102" s="50"/>
      <c r="E102" s="49">
        <f>E103+E108</f>
        <v>525000</v>
      </c>
      <c r="F102" s="49">
        <f>F103+F108</f>
        <v>525000</v>
      </c>
    </row>
    <row r="103" spans="1:6" ht="78.75">
      <c r="A103" s="7" t="s">
        <v>30</v>
      </c>
      <c r="B103" s="88" t="s">
        <v>205</v>
      </c>
      <c r="C103" s="14" t="s">
        <v>83</v>
      </c>
      <c r="D103" s="44"/>
      <c r="E103" s="49">
        <f>E104+E106</f>
        <v>350000</v>
      </c>
      <c r="F103" s="49">
        <f>F104+F106</f>
        <v>350000</v>
      </c>
    </row>
    <row r="104" spans="1:6">
      <c r="A104" s="7" t="s">
        <v>31</v>
      </c>
      <c r="B104" s="89"/>
      <c r="C104" s="12" t="s">
        <v>84</v>
      </c>
      <c r="D104" s="36"/>
      <c r="E104" s="43">
        <f>E105</f>
        <v>200000</v>
      </c>
      <c r="F104" s="43">
        <f>F105</f>
        <v>200000</v>
      </c>
    </row>
    <row r="105" spans="1:6" ht="31.5">
      <c r="A105" s="7"/>
      <c r="B105" s="89"/>
      <c r="C105" s="18" t="s">
        <v>124</v>
      </c>
      <c r="D105" s="36" t="s">
        <v>185</v>
      </c>
      <c r="E105" s="48">
        <f>40000*5</f>
        <v>200000</v>
      </c>
      <c r="F105" s="48">
        <f>40000*5</f>
        <v>200000</v>
      </c>
    </row>
    <row r="106" spans="1:6">
      <c r="A106" s="7" t="s">
        <v>73</v>
      </c>
      <c r="B106" s="89"/>
      <c r="C106" s="18" t="s">
        <v>82</v>
      </c>
      <c r="D106" s="36"/>
      <c r="E106" s="56">
        <f>E107</f>
        <v>150000</v>
      </c>
      <c r="F106" s="56">
        <f>F107</f>
        <v>150000</v>
      </c>
    </row>
    <row r="107" spans="1:6" ht="31.5">
      <c r="A107" s="7"/>
      <c r="B107" s="89"/>
      <c r="C107" s="18" t="s">
        <v>125</v>
      </c>
      <c r="D107" s="35" t="s">
        <v>186</v>
      </c>
      <c r="E107" s="48">
        <f>30000*5</f>
        <v>150000</v>
      </c>
      <c r="F107" s="48">
        <f>30000*5</f>
        <v>150000</v>
      </c>
    </row>
    <row r="108" spans="1:6" ht="78.75">
      <c r="A108" s="7" t="s">
        <v>62</v>
      </c>
      <c r="B108" s="89"/>
      <c r="C108" s="80" t="s">
        <v>65</v>
      </c>
      <c r="D108" s="36"/>
      <c r="E108" s="56">
        <f>E109</f>
        <v>175000</v>
      </c>
      <c r="F108" s="56">
        <f>F109</f>
        <v>175000</v>
      </c>
    </row>
    <row r="109" spans="1:6" ht="63">
      <c r="A109" s="7" t="s">
        <v>63</v>
      </c>
      <c r="B109" s="89"/>
      <c r="C109" s="20" t="s">
        <v>176</v>
      </c>
      <c r="D109" s="36"/>
      <c r="E109" s="56">
        <f>E110</f>
        <v>175000</v>
      </c>
      <c r="F109" s="56">
        <f>F110</f>
        <v>175000</v>
      </c>
    </row>
    <row r="110" spans="1:6" ht="31.5">
      <c r="A110" s="7"/>
      <c r="B110" s="90"/>
      <c r="C110" s="18" t="s">
        <v>177</v>
      </c>
      <c r="D110" s="36" t="s">
        <v>187</v>
      </c>
      <c r="E110" s="48">
        <f>35000*5</f>
        <v>175000</v>
      </c>
      <c r="F110" s="48">
        <f>35000*5</f>
        <v>175000</v>
      </c>
    </row>
    <row r="111" spans="1:6" ht="42.75" customHeight="1">
      <c r="A111" s="116" t="s">
        <v>188</v>
      </c>
      <c r="B111" s="117"/>
      <c r="C111" s="117"/>
      <c r="D111" s="117"/>
      <c r="E111" s="117"/>
      <c r="F111" s="121"/>
    </row>
    <row r="112" spans="1:6" ht="78.75">
      <c r="A112" s="7" t="s">
        <v>32</v>
      </c>
      <c r="B112" s="84" t="s">
        <v>189</v>
      </c>
      <c r="C112" s="45"/>
      <c r="D112" s="41"/>
      <c r="E112" s="40">
        <f>E113</f>
        <v>0</v>
      </c>
      <c r="F112" s="40">
        <f>F113</f>
        <v>64500</v>
      </c>
    </row>
    <row r="113" spans="1:6" ht="78.75">
      <c r="A113" s="7" t="s">
        <v>33</v>
      </c>
      <c r="B113" s="91" t="s">
        <v>206</v>
      </c>
      <c r="C113" s="39" t="s">
        <v>53</v>
      </c>
      <c r="D113" s="41"/>
      <c r="E113" s="61">
        <f>E114+E116</f>
        <v>0</v>
      </c>
      <c r="F113" s="61">
        <f>F114+F116</f>
        <v>64500</v>
      </c>
    </row>
    <row r="114" spans="1:6" ht="47.25">
      <c r="A114" s="29" t="s">
        <v>34</v>
      </c>
      <c r="B114" s="92"/>
      <c r="C114" s="67" t="s">
        <v>54</v>
      </c>
      <c r="D114" s="68"/>
      <c r="E114" s="70">
        <f>E115</f>
        <v>0</v>
      </c>
      <c r="F114" s="70">
        <f>F115</f>
        <v>22500</v>
      </c>
    </row>
    <row r="115" spans="1:6" ht="33" customHeight="1">
      <c r="A115" s="34"/>
      <c r="B115" s="92"/>
      <c r="C115" s="19" t="s">
        <v>193</v>
      </c>
      <c r="D115" s="69" t="s">
        <v>190</v>
      </c>
      <c r="E115" s="55"/>
      <c r="F115" s="82">
        <v>22500</v>
      </c>
    </row>
    <row r="116" spans="1:6">
      <c r="A116" s="7" t="s">
        <v>60</v>
      </c>
      <c r="B116" s="92"/>
      <c r="C116" s="14" t="s">
        <v>196</v>
      </c>
      <c r="D116" s="23"/>
      <c r="E116" s="56">
        <f>SUM(E117:E118)</f>
        <v>0</v>
      </c>
      <c r="F116" s="56">
        <f>SUM(F117:F118)</f>
        <v>42000</v>
      </c>
    </row>
    <row r="117" spans="1:6" ht="24" customHeight="1">
      <c r="A117" s="7"/>
      <c r="B117" s="92"/>
      <c r="C117" s="12" t="s">
        <v>194</v>
      </c>
      <c r="D117" s="23" t="s">
        <v>191</v>
      </c>
      <c r="E117" s="48">
        <v>0</v>
      </c>
      <c r="F117" s="48">
        <v>30000</v>
      </c>
    </row>
    <row r="118" spans="1:6" ht="31.5">
      <c r="A118" s="7"/>
      <c r="B118" s="93"/>
      <c r="C118" s="25" t="s">
        <v>195</v>
      </c>
      <c r="D118" s="23" t="s">
        <v>192</v>
      </c>
      <c r="E118" s="48">
        <v>0</v>
      </c>
      <c r="F118" s="48">
        <v>12000</v>
      </c>
    </row>
    <row r="119" spans="1:6" ht="15.75" customHeight="1">
      <c r="A119" s="97" t="s">
        <v>5</v>
      </c>
      <c r="B119" s="98"/>
      <c r="C119" s="98"/>
      <c r="D119" s="99"/>
      <c r="E119" s="26">
        <f>E8+E16+E33+E46+E58+E67+E87+E97+E102+E112</f>
        <v>6135450</v>
      </c>
      <c r="F119" s="26">
        <f>F8+F16+F33+F46+F58+F67+F87+F97+F102+F112</f>
        <v>6500950</v>
      </c>
    </row>
    <row r="126" spans="1:6">
      <c r="A126" s="1"/>
    </row>
    <row r="127" spans="1:6">
      <c r="A127" s="1"/>
    </row>
    <row r="128" spans="1:6">
      <c r="C128" s="2"/>
    </row>
    <row r="129" spans="1:3">
      <c r="C129" s="2"/>
    </row>
    <row r="130" spans="1:3">
      <c r="A130" s="9"/>
      <c r="B130" s="2"/>
      <c r="C130" s="2"/>
    </row>
    <row r="131" spans="1:3">
      <c r="A131" s="10"/>
      <c r="B131" s="3"/>
      <c r="C131" s="4"/>
    </row>
    <row r="132" spans="1:3">
      <c r="A132" s="11"/>
      <c r="B132" s="5"/>
      <c r="C132" s="4"/>
    </row>
    <row r="133" spans="1:3">
      <c r="B133" s="6"/>
      <c r="C133" s="2"/>
    </row>
  </sheetData>
  <mergeCells count="25">
    <mergeCell ref="A119:D119"/>
    <mergeCell ref="A1:F1"/>
    <mergeCell ref="A2:F2"/>
    <mergeCell ref="A3:A5"/>
    <mergeCell ref="B3:B5"/>
    <mergeCell ref="C3:F3"/>
    <mergeCell ref="C4:C5"/>
    <mergeCell ref="D4:D5"/>
    <mergeCell ref="E4:F4"/>
    <mergeCell ref="A7:F7"/>
    <mergeCell ref="A15:F15"/>
    <mergeCell ref="A57:F57"/>
    <mergeCell ref="A96:F96"/>
    <mergeCell ref="A101:F101"/>
    <mergeCell ref="A111:F111"/>
    <mergeCell ref="B9:B14"/>
    <mergeCell ref="B88:B95"/>
    <mergeCell ref="B98:B100"/>
    <mergeCell ref="B103:B110"/>
    <mergeCell ref="B113:B118"/>
    <mergeCell ref="B17:B30"/>
    <mergeCell ref="B35:B45"/>
    <mergeCell ref="B47:B56"/>
    <mergeCell ref="B59:B66"/>
    <mergeCell ref="B68:B83"/>
  </mergeCells>
  <pageMargins left="0.19685039370078741" right="0.19685039370078741" top="0.35433070866141736" bottom="0.46875" header="0" footer="0"/>
  <pageSetup paperSize="9" scale="86" fitToHeight="0" orientation="landscape"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Расшифровка_7-РКМ17</vt:lpstr>
      <vt:lpstr>'Расшифровка_7-РКМ17'!Заголовки_для_печати</vt:lpstr>
      <vt:lpstr>'Расшифровка_7-РКМ17'!Область_печати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Иванова Татьяна Юрьевна</dc:creator>
  <cp:lastModifiedBy>Дмитриева Ольга Александровна</cp:lastModifiedBy>
  <cp:lastPrinted>2022-05-19T07:57:39Z</cp:lastPrinted>
  <dcterms:created xsi:type="dcterms:W3CDTF">2011-01-28T08:13:27Z</dcterms:created>
  <dcterms:modified xsi:type="dcterms:W3CDTF">2022-05-19T07:57:43Z</dcterms:modified>
</cp:coreProperties>
</file>