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codeName="ЭтаКнига" defaultThemeVersion="124226"/>
  <bookViews>
    <workbookView xWindow="-120" yWindow="-120" windowWidth="29040" windowHeight="15840" tabRatio="725"/>
  </bookViews>
  <sheets>
    <sheet name="1-14 день" sheetId="5" r:id="rId1"/>
    <sheet name="тит" sheetId="6" r:id="rId2"/>
  </sheets>
  <definedNames>
    <definedName name="_xlnm.Print_Area" localSheetId="0">'1-14 день'!$A$1:$O$313</definedName>
  </definedNames>
  <calcPr calcId="124519" refMode="R1C1"/>
  <fileRecoveryPr repair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310" i="5"/>
  <c r="N310"/>
  <c r="M310"/>
  <c r="L310"/>
  <c r="K310"/>
  <c r="I310"/>
  <c r="H310"/>
  <c r="G310"/>
  <c r="F310"/>
  <c r="D310"/>
  <c r="O308"/>
  <c r="N308"/>
  <c r="M308"/>
  <c r="L308"/>
  <c r="K308"/>
  <c r="H308"/>
  <c r="G308"/>
  <c r="F308"/>
  <c r="E308"/>
  <c r="D308"/>
  <c r="O307"/>
  <c r="N307"/>
  <c r="M307"/>
  <c r="L307"/>
  <c r="K307"/>
  <c r="I307"/>
  <c r="H307"/>
  <c r="G307"/>
  <c r="F307"/>
  <c r="F313" s="1"/>
  <c r="E307"/>
  <c r="D307"/>
  <c r="D306"/>
  <c r="O302"/>
  <c r="N302"/>
  <c r="M302"/>
  <c r="L302"/>
  <c r="J302"/>
  <c r="I302"/>
  <c r="H302"/>
  <c r="G302"/>
  <c r="G304" s="1"/>
  <c r="F302"/>
  <c r="F304" s="1"/>
  <c r="E302"/>
  <c r="E304" s="1"/>
  <c r="D302"/>
  <c r="D304" s="1"/>
  <c r="O287"/>
  <c r="N287"/>
  <c r="M287"/>
  <c r="L287"/>
  <c r="K287"/>
  <c r="I287"/>
  <c r="H287"/>
  <c r="G287"/>
  <c r="F287"/>
  <c r="D287"/>
  <c r="O285"/>
  <c r="N285"/>
  <c r="M285"/>
  <c r="L285"/>
  <c r="K285"/>
  <c r="J285"/>
  <c r="I285"/>
  <c r="H285"/>
  <c r="G285"/>
  <c r="F285"/>
  <c r="E285"/>
  <c r="D285"/>
  <c r="O284"/>
  <c r="N284"/>
  <c r="M284"/>
  <c r="L284"/>
  <c r="K284"/>
  <c r="I284"/>
  <c r="H284"/>
  <c r="G284"/>
  <c r="F284"/>
  <c r="E284"/>
  <c r="D284"/>
  <c r="F283"/>
  <c r="E283"/>
  <c r="D283"/>
  <c r="O280"/>
  <c r="N280"/>
  <c r="M280"/>
  <c r="L280"/>
  <c r="J280"/>
  <c r="I280"/>
  <c r="H280"/>
  <c r="G280"/>
  <c r="F280"/>
  <c r="E280"/>
  <c r="D280"/>
  <c r="O276"/>
  <c r="N276"/>
  <c r="M276"/>
  <c r="L276"/>
  <c r="K276"/>
  <c r="J276"/>
  <c r="I276"/>
  <c r="H276"/>
  <c r="G276"/>
  <c r="G281" s="1"/>
  <c r="F276"/>
  <c r="F281" s="1"/>
  <c r="E276"/>
  <c r="E281" s="1"/>
  <c r="D276"/>
  <c r="D281" s="1"/>
  <c r="O265"/>
  <c r="N265"/>
  <c r="M265"/>
  <c r="L265"/>
  <c r="K265"/>
  <c r="I265"/>
  <c r="H265"/>
  <c r="G265"/>
  <c r="F265"/>
  <c r="D265"/>
  <c r="O264"/>
  <c r="N264"/>
  <c r="M264"/>
  <c r="L264"/>
  <c r="K264"/>
  <c r="I264"/>
  <c r="H264"/>
  <c r="G264"/>
  <c r="F264"/>
  <c r="E264"/>
  <c r="D264"/>
  <c r="O262"/>
  <c r="N262"/>
  <c r="M262"/>
  <c r="L262"/>
  <c r="K262"/>
  <c r="I262"/>
  <c r="H262"/>
  <c r="G262"/>
  <c r="F262"/>
  <c r="E262"/>
  <c r="D262"/>
  <c r="H261"/>
  <c r="G261"/>
  <c r="O258"/>
  <c r="N258"/>
  <c r="M258"/>
  <c r="L258"/>
  <c r="K258"/>
  <c r="J258"/>
  <c r="I258"/>
  <c r="H258"/>
  <c r="G258"/>
  <c r="G259" s="1"/>
  <c r="F258"/>
  <c r="F259" s="1"/>
  <c r="E258"/>
  <c r="E259" s="1"/>
  <c r="D258"/>
  <c r="D259" s="1"/>
  <c r="O242"/>
  <c r="N242"/>
  <c r="M242"/>
  <c r="L242"/>
  <c r="K242"/>
  <c r="I242"/>
  <c r="H242"/>
  <c r="G242"/>
  <c r="F242"/>
  <c r="E242"/>
  <c r="D242"/>
  <c r="O240"/>
  <c r="N240"/>
  <c r="M240"/>
  <c r="L240"/>
  <c r="K240"/>
  <c r="H240"/>
  <c r="G240"/>
  <c r="F240"/>
  <c r="E240"/>
  <c r="D240"/>
  <c r="O239"/>
  <c r="N239"/>
  <c r="M239"/>
  <c r="L239"/>
  <c r="K239"/>
  <c r="I239"/>
  <c r="H239"/>
  <c r="G239"/>
  <c r="F239"/>
  <c r="E239"/>
  <c r="D239"/>
  <c r="O234"/>
  <c r="N234"/>
  <c r="M234"/>
  <c r="L234"/>
  <c r="J234"/>
  <c r="I234"/>
  <c r="H234"/>
  <c r="G234"/>
  <c r="G236" s="1"/>
  <c r="F234"/>
  <c r="F236" s="1"/>
  <c r="E234"/>
  <c r="E236" s="1"/>
  <c r="D234"/>
  <c r="D236" s="1"/>
  <c r="O221"/>
  <c r="N221"/>
  <c r="M221"/>
  <c r="L221"/>
  <c r="K221"/>
  <c r="I221"/>
  <c r="H221"/>
  <c r="G221"/>
  <c r="F221"/>
  <c r="E221"/>
  <c r="D221"/>
  <c r="O220"/>
  <c r="N220"/>
  <c r="M220"/>
  <c r="L220"/>
  <c r="K220"/>
  <c r="I220"/>
  <c r="H220"/>
  <c r="G220"/>
  <c r="F220"/>
  <c r="E220"/>
  <c r="D220"/>
  <c r="O219"/>
  <c r="N219"/>
  <c r="M219"/>
  <c r="L219"/>
  <c r="K219"/>
  <c r="J219"/>
  <c r="I219"/>
  <c r="H219"/>
  <c r="G219"/>
  <c r="F219"/>
  <c r="E219"/>
  <c r="D219"/>
  <c r="O218"/>
  <c r="N218"/>
  <c r="M218"/>
  <c r="L218"/>
  <c r="K218"/>
  <c r="I218"/>
  <c r="H218"/>
  <c r="G218"/>
  <c r="F218"/>
  <c r="E218"/>
  <c r="D218"/>
  <c r="H217"/>
  <c r="G217"/>
  <c r="O214"/>
  <c r="N214"/>
  <c r="M214"/>
  <c r="L214"/>
  <c r="J214"/>
  <c r="I214"/>
  <c r="H214"/>
  <c r="G214"/>
  <c r="G215" s="1"/>
  <c r="F214"/>
  <c r="F215" s="1"/>
  <c r="E214"/>
  <c r="E215" s="1"/>
  <c r="D214"/>
  <c r="D215" s="1"/>
  <c r="O200"/>
  <c r="N200"/>
  <c r="M200"/>
  <c r="L200"/>
  <c r="K200"/>
  <c r="I200"/>
  <c r="H200"/>
  <c r="G200"/>
  <c r="F200"/>
  <c r="D200"/>
  <c r="O196"/>
  <c r="N196"/>
  <c r="M196"/>
  <c r="L196"/>
  <c r="K196"/>
  <c r="I196"/>
  <c r="H196"/>
  <c r="G196"/>
  <c r="G202" s="1"/>
  <c r="F196"/>
  <c r="F202" s="1"/>
  <c r="E196"/>
  <c r="E202" s="1"/>
  <c r="D196"/>
  <c r="D195"/>
  <c r="O192"/>
  <c r="N192"/>
  <c r="M192"/>
  <c r="L192"/>
  <c r="J192"/>
  <c r="I192"/>
  <c r="H192"/>
  <c r="G192"/>
  <c r="G193" s="1"/>
  <c r="F192"/>
  <c r="F193" s="1"/>
  <c r="E192"/>
  <c r="E193" s="1"/>
  <c r="D192"/>
  <c r="D193" s="1"/>
  <c r="O176"/>
  <c r="N176"/>
  <c r="M176"/>
  <c r="L176"/>
  <c r="K176"/>
  <c r="I176"/>
  <c r="H176"/>
  <c r="G176"/>
  <c r="F176"/>
  <c r="E176"/>
  <c r="D176"/>
  <c r="O175"/>
  <c r="N175"/>
  <c r="M175"/>
  <c r="L175"/>
  <c r="K175"/>
  <c r="J175"/>
  <c r="I175"/>
  <c r="H175"/>
  <c r="G175"/>
  <c r="F175"/>
  <c r="E175"/>
  <c r="D175"/>
  <c r="O174"/>
  <c r="N174"/>
  <c r="M174"/>
  <c r="L174"/>
  <c r="K174"/>
  <c r="H174"/>
  <c r="G174"/>
  <c r="F174"/>
  <c r="E174"/>
  <c r="D174"/>
  <c r="O173"/>
  <c r="N173"/>
  <c r="M173"/>
  <c r="L173"/>
  <c r="K173"/>
  <c r="I173"/>
  <c r="H173"/>
  <c r="G173"/>
  <c r="F173"/>
  <c r="E173"/>
  <c r="D173"/>
  <c r="F172"/>
  <c r="E172"/>
  <c r="D172"/>
  <c r="O169"/>
  <c r="N169"/>
  <c r="M169"/>
  <c r="L169"/>
  <c r="K169"/>
  <c r="J169"/>
  <c r="I169"/>
  <c r="H169"/>
  <c r="G169"/>
  <c r="G170" s="1"/>
  <c r="F169"/>
  <c r="F170" s="1"/>
  <c r="E169"/>
  <c r="E170" s="1"/>
  <c r="D169"/>
  <c r="D170" s="1"/>
  <c r="O153"/>
  <c r="N153"/>
  <c r="M153"/>
  <c r="L153"/>
  <c r="K153"/>
  <c r="I153"/>
  <c r="H153"/>
  <c r="G153"/>
  <c r="F153"/>
  <c r="D153"/>
  <c r="O151"/>
  <c r="N151"/>
  <c r="M151"/>
  <c r="L151"/>
  <c r="K151"/>
  <c r="H151"/>
  <c r="G151"/>
  <c r="F151"/>
  <c r="E151"/>
  <c r="D151"/>
  <c r="O150"/>
  <c r="N150"/>
  <c r="M150"/>
  <c r="L150"/>
  <c r="K150"/>
  <c r="I150"/>
  <c r="H150"/>
  <c r="G150"/>
  <c r="G156" s="1"/>
  <c r="F150"/>
  <c r="E150"/>
  <c r="D150"/>
  <c r="O145"/>
  <c r="N145"/>
  <c r="M145"/>
  <c r="L145"/>
  <c r="J145"/>
  <c r="I145"/>
  <c r="H145"/>
  <c r="G145"/>
  <c r="G147" s="1"/>
  <c r="F145"/>
  <c r="F147" s="1"/>
  <c r="E145"/>
  <c r="E147" s="1"/>
  <c r="D145"/>
  <c r="D147" s="1"/>
  <c r="O130"/>
  <c r="N130"/>
  <c r="M130"/>
  <c r="L130"/>
  <c r="K130"/>
  <c r="J130"/>
  <c r="I130"/>
  <c r="H130"/>
  <c r="G130"/>
  <c r="F130"/>
  <c r="E130"/>
  <c r="D130"/>
  <c r="O129"/>
  <c r="N129"/>
  <c r="M129"/>
  <c r="L129"/>
  <c r="K129"/>
  <c r="H129"/>
  <c r="G129"/>
  <c r="F129"/>
  <c r="E129"/>
  <c r="D129"/>
  <c r="O128"/>
  <c r="N128"/>
  <c r="M128"/>
  <c r="L128"/>
  <c r="K128"/>
  <c r="J128"/>
  <c r="I128"/>
  <c r="H128"/>
  <c r="G128"/>
  <c r="F128"/>
  <c r="E128"/>
  <c r="D128"/>
  <c r="O127"/>
  <c r="N127"/>
  <c r="M127"/>
  <c r="L127"/>
  <c r="K127"/>
  <c r="I127"/>
  <c r="H127"/>
  <c r="G127"/>
  <c r="F127"/>
  <c r="E127"/>
  <c r="D127"/>
  <c r="H126"/>
  <c r="G126"/>
  <c r="O123"/>
  <c r="N123"/>
  <c r="M123"/>
  <c r="L123"/>
  <c r="J123"/>
  <c r="I123"/>
  <c r="H123"/>
  <c r="G123"/>
  <c r="F123"/>
  <c r="E123"/>
  <c r="D123"/>
  <c r="O119"/>
  <c r="N119"/>
  <c r="M119"/>
  <c r="L119"/>
  <c r="K119"/>
  <c r="J119"/>
  <c r="I119"/>
  <c r="H119"/>
  <c r="G119"/>
  <c r="G124" s="1"/>
  <c r="F119"/>
  <c r="F124" s="1"/>
  <c r="E119"/>
  <c r="E124" s="1"/>
  <c r="D119"/>
  <c r="D124" s="1"/>
  <c r="O108"/>
  <c r="N108"/>
  <c r="M108"/>
  <c r="L108"/>
  <c r="K108"/>
  <c r="J108"/>
  <c r="I108"/>
  <c r="H108"/>
  <c r="G108"/>
  <c r="F108"/>
  <c r="E108"/>
  <c r="D108"/>
  <c r="O107"/>
  <c r="N107"/>
  <c r="M107"/>
  <c r="L107"/>
  <c r="K107"/>
  <c r="I107"/>
  <c r="H107"/>
  <c r="G107"/>
  <c r="F107"/>
  <c r="E107"/>
  <c r="D107"/>
  <c r="O106"/>
  <c r="N106"/>
  <c r="M106"/>
  <c r="L106"/>
  <c r="K106"/>
  <c r="J106"/>
  <c r="I106"/>
  <c r="H106"/>
  <c r="G106"/>
  <c r="G111" s="1"/>
  <c r="F106"/>
  <c r="E106"/>
  <c r="D106"/>
  <c r="L105"/>
  <c r="E105"/>
  <c r="D105"/>
  <c r="F104"/>
  <c r="E104"/>
  <c r="D104"/>
  <c r="N101"/>
  <c r="M101"/>
  <c r="L101"/>
  <c r="K101"/>
  <c r="I101"/>
  <c r="H101"/>
  <c r="G101"/>
  <c r="G102" s="1"/>
  <c r="F101"/>
  <c r="F102" s="1"/>
  <c r="E101"/>
  <c r="E102" s="1"/>
  <c r="D101"/>
  <c r="D102" s="1"/>
  <c r="O85"/>
  <c r="N85"/>
  <c r="M85"/>
  <c r="L85"/>
  <c r="K85"/>
  <c r="I85"/>
  <c r="H85"/>
  <c r="G85"/>
  <c r="F85"/>
  <c r="D85"/>
  <c r="O83"/>
  <c r="N83"/>
  <c r="M83"/>
  <c r="L83"/>
  <c r="K83"/>
  <c r="H83"/>
  <c r="G83"/>
  <c r="F83"/>
  <c r="E83"/>
  <c r="E88" s="1"/>
  <c r="D83"/>
  <c r="O82"/>
  <c r="N82"/>
  <c r="M82"/>
  <c r="L82"/>
  <c r="K82"/>
  <c r="I82"/>
  <c r="H82"/>
  <c r="G82"/>
  <c r="F82"/>
  <c r="F88" s="1"/>
  <c r="E82"/>
  <c r="D82"/>
  <c r="D81"/>
  <c r="O77"/>
  <c r="N77"/>
  <c r="M77"/>
  <c r="L77"/>
  <c r="J77"/>
  <c r="I77"/>
  <c r="H77"/>
  <c r="G77"/>
  <c r="G79" s="1"/>
  <c r="F77"/>
  <c r="F79" s="1"/>
  <c r="E77"/>
  <c r="E79" s="1"/>
  <c r="D77"/>
  <c r="D79" s="1"/>
  <c r="O62"/>
  <c r="N62"/>
  <c r="M62"/>
  <c r="L62"/>
  <c r="K62"/>
  <c r="I62"/>
  <c r="H62"/>
  <c r="G62"/>
  <c r="F62"/>
  <c r="D62"/>
  <c r="O60"/>
  <c r="N60"/>
  <c r="M60"/>
  <c r="L60"/>
  <c r="K60"/>
  <c r="J60"/>
  <c r="I60"/>
  <c r="H60"/>
  <c r="G60"/>
  <c r="F60"/>
  <c r="E60"/>
  <c r="D60"/>
  <c r="O59"/>
  <c r="N59"/>
  <c r="M59"/>
  <c r="L59"/>
  <c r="K59"/>
  <c r="I59"/>
  <c r="H59"/>
  <c r="G59"/>
  <c r="F59"/>
  <c r="E59"/>
  <c r="D59"/>
  <c r="F58"/>
  <c r="E58"/>
  <c r="D58"/>
  <c r="O55"/>
  <c r="N55"/>
  <c r="M55"/>
  <c r="L55"/>
  <c r="J55"/>
  <c r="I55"/>
  <c r="H55"/>
  <c r="G55"/>
  <c r="F55"/>
  <c r="E55"/>
  <c r="D55"/>
  <c r="O51"/>
  <c r="N51"/>
  <c r="M51"/>
  <c r="L51"/>
  <c r="K51"/>
  <c r="J51"/>
  <c r="I51"/>
  <c r="H51"/>
  <c r="G51"/>
  <c r="G56" s="1"/>
  <c r="F51"/>
  <c r="F56" s="1"/>
  <c r="E51"/>
  <c r="E56" s="1"/>
  <c r="D51"/>
  <c r="D56" s="1"/>
  <c r="O40"/>
  <c r="N40"/>
  <c r="M40"/>
  <c r="L40"/>
  <c r="K40"/>
  <c r="I40"/>
  <c r="H40"/>
  <c r="G40"/>
  <c r="F40"/>
  <c r="D40"/>
  <c r="O39"/>
  <c r="N39"/>
  <c r="M39"/>
  <c r="L39"/>
  <c r="K39"/>
  <c r="I39"/>
  <c r="H39"/>
  <c r="G39"/>
  <c r="F39"/>
  <c r="E39"/>
  <c r="D39"/>
  <c r="O37"/>
  <c r="N37"/>
  <c r="M37"/>
  <c r="L37"/>
  <c r="K37"/>
  <c r="I37"/>
  <c r="H37"/>
  <c r="G37"/>
  <c r="F37"/>
  <c r="E37"/>
  <c r="E43" s="1"/>
  <c r="D37"/>
  <c r="H36"/>
  <c r="G36"/>
  <c r="O33"/>
  <c r="N33"/>
  <c r="M33"/>
  <c r="L33"/>
  <c r="K33"/>
  <c r="J33"/>
  <c r="I33"/>
  <c r="H33"/>
  <c r="G33"/>
  <c r="G34" s="1"/>
  <c r="F33"/>
  <c r="F34" s="1"/>
  <c r="E33"/>
  <c r="E34" s="1"/>
  <c r="D33"/>
  <c r="D34" s="1"/>
  <c r="F179" l="1"/>
  <c r="G179"/>
  <c r="E156"/>
  <c r="G43"/>
  <c r="D65"/>
  <c r="F65"/>
  <c r="G65"/>
  <c r="G133"/>
  <c r="D133"/>
  <c r="F133"/>
  <c r="D156"/>
  <c r="F156"/>
  <c r="E179"/>
  <c r="E245"/>
  <c r="G245"/>
  <c r="E268"/>
  <c r="D290"/>
  <c r="F290"/>
  <c r="D43"/>
  <c r="F43"/>
  <c r="E65"/>
  <c r="D88"/>
  <c r="E133"/>
  <c r="D179"/>
  <c r="D202"/>
  <c r="G224"/>
  <c r="D224"/>
  <c r="F224"/>
  <c r="E224"/>
  <c r="D245"/>
  <c r="F245"/>
  <c r="G268"/>
  <c r="D268"/>
  <c r="F268"/>
  <c r="E290"/>
  <c r="G290"/>
  <c r="D313"/>
  <c r="E313"/>
  <c r="G313"/>
  <c r="G88"/>
  <c r="E111"/>
  <c r="D111"/>
  <c r="F111"/>
  <c r="O17" l="1"/>
  <c r="N17"/>
  <c r="M17"/>
  <c r="L17"/>
  <c r="K17"/>
  <c r="I17"/>
  <c r="H17"/>
  <c r="G17"/>
  <c r="F17"/>
  <c r="E17"/>
  <c r="D17"/>
  <c r="O20" l="1"/>
  <c r="N20"/>
  <c r="M20"/>
  <c r="L20"/>
  <c r="K20"/>
  <c r="I20"/>
  <c r="H20"/>
  <c r="G20"/>
  <c r="F20"/>
  <c r="E20"/>
  <c r="D20"/>
  <c r="O18"/>
  <c r="N18"/>
  <c r="M18"/>
  <c r="L18"/>
  <c r="K18"/>
  <c r="H18"/>
  <c r="G18"/>
  <c r="F18"/>
  <c r="E18"/>
  <c r="D18"/>
  <c r="O12"/>
  <c r="N12"/>
  <c r="M12"/>
  <c r="L12"/>
  <c r="J12"/>
  <c r="I12"/>
  <c r="H12"/>
  <c r="G12"/>
  <c r="F12"/>
  <c r="E12"/>
  <c r="D12"/>
  <c r="G23" l="1"/>
  <c r="D23"/>
  <c r="E14"/>
  <c r="D14"/>
  <c r="F14"/>
  <c r="E23"/>
  <c r="G14"/>
  <c r="F23"/>
</calcChain>
</file>

<file path=xl/sharedStrings.xml><?xml version="1.0" encoding="utf-8"?>
<sst xmlns="http://schemas.openxmlformats.org/spreadsheetml/2006/main" count="612" uniqueCount="104">
  <si>
    <t>Энергетическая ценность (ккал)</t>
  </si>
  <si>
    <t>Б</t>
  </si>
  <si>
    <t>Ж</t>
  </si>
  <si>
    <t>У</t>
  </si>
  <si>
    <t>С</t>
  </si>
  <si>
    <t>А</t>
  </si>
  <si>
    <t>Е</t>
  </si>
  <si>
    <t>Са</t>
  </si>
  <si>
    <t>Р</t>
  </si>
  <si>
    <t>Мg</t>
  </si>
  <si>
    <t>Fe</t>
  </si>
  <si>
    <t>ИТОГО:</t>
  </si>
  <si>
    <t>Макароны отварные с маслом</t>
  </si>
  <si>
    <t>Пюре картофельное</t>
  </si>
  <si>
    <t>Хлеб ржано-пшеничный</t>
  </si>
  <si>
    <t>Рис отварной</t>
  </si>
  <si>
    <t>Тефтели мясные паровые</t>
  </si>
  <si>
    <t>Каша гречневая рассыпчатая</t>
  </si>
  <si>
    <t>Приём пищи, наименование блюда</t>
  </si>
  <si>
    <t>Обед</t>
  </si>
  <si>
    <t>Масса порции</t>
  </si>
  <si>
    <t>№ рец.</t>
  </si>
  <si>
    <t>Минеральные вещества (мг.)</t>
  </si>
  <si>
    <t>Витамины (мг.)</t>
  </si>
  <si>
    <t>Пищевые вещества (г.)</t>
  </si>
  <si>
    <t>Завтрак</t>
  </si>
  <si>
    <t xml:space="preserve"> Обед</t>
  </si>
  <si>
    <t xml:space="preserve">День: </t>
  </si>
  <si>
    <t>понедельник</t>
  </si>
  <si>
    <t xml:space="preserve">Неделя: </t>
  </si>
  <si>
    <t>первая</t>
  </si>
  <si>
    <t xml:space="preserve">Сезон: </t>
  </si>
  <si>
    <t xml:space="preserve">Возрастная категория: </t>
  </si>
  <si>
    <t>7-11 лет</t>
  </si>
  <si>
    <t>вторник</t>
  </si>
  <si>
    <t>Какао с молоком</t>
  </si>
  <si>
    <t>среда</t>
  </si>
  <si>
    <t>четверг</t>
  </si>
  <si>
    <t>Напиток из плодов шиповника</t>
  </si>
  <si>
    <t>пятница</t>
  </si>
  <si>
    <t>Кисель из яблок</t>
  </si>
  <si>
    <t>Компот из кураги</t>
  </si>
  <si>
    <t>В1</t>
  </si>
  <si>
    <t>Салат из белокачанной капусты с морковью</t>
  </si>
  <si>
    <t>Вареники ленивые отварные с йогуртом</t>
  </si>
  <si>
    <t>Рыба тушеная в томате с овощами (минтай)</t>
  </si>
  <si>
    <t>Яйцо куриное сваренное вкрутую</t>
  </si>
  <si>
    <t>Салат из свеклы отварной с яблоками</t>
  </si>
  <si>
    <t>вторая</t>
  </si>
  <si>
    <t>Хлеб пшеничный</t>
  </si>
  <si>
    <t>Масло сливочное</t>
  </si>
  <si>
    <t>Суп картофельный с фасолью на мясокостном бульоне</t>
  </si>
  <si>
    <t>Борщ с капустой и картофелем на мясокостном бульоне</t>
  </si>
  <si>
    <t>Винегрет овощной с растительным маслом (лук репчатый)</t>
  </si>
  <si>
    <t>Напиток кофейный с молоком</t>
  </si>
  <si>
    <t>Щи из свежей капусты с картофелем на мясокостном бульоне</t>
  </si>
  <si>
    <t>Котлета, рубленная из птицы 2 шт. по 50 гр</t>
  </si>
  <si>
    <t>Рассольник ленинградский с крупой пшеничной на мясокостном бульоне</t>
  </si>
  <si>
    <t>Омлет натуральный, сваренный на пару.</t>
  </si>
  <si>
    <t>Суп с макаронными изделиями и картофелем на курином бульоне</t>
  </si>
  <si>
    <t>Куриные окорочка отварные с маслом</t>
  </si>
  <si>
    <t>Рыба припущенная (минтай) с маслом</t>
  </si>
  <si>
    <t>200/10</t>
  </si>
  <si>
    <r>
      <t>В</t>
    </r>
    <r>
      <rPr>
        <sz val="8"/>
        <color theme="1"/>
        <rFont val="Calibri"/>
        <family val="2"/>
        <charset val="204"/>
        <scheme val="minor"/>
      </rPr>
      <t>1</t>
    </r>
  </si>
  <si>
    <t>Каша пшенная жидкая молочная с маслом</t>
  </si>
  <si>
    <t>Йогурт</t>
  </si>
  <si>
    <t>Хлеб пшеничный с маслом</t>
  </si>
  <si>
    <t xml:space="preserve">Хлеб пшеничный  </t>
  </si>
  <si>
    <t>Запеканка манная с изюмом и сметаной</t>
  </si>
  <si>
    <t>Сметана</t>
  </si>
  <si>
    <t>Каша вязкая на молоке из овсяных хлопьев "геркулес" с маслом сливочным</t>
  </si>
  <si>
    <t>Каша жидкая молочная из риса с маслом сливочным</t>
  </si>
  <si>
    <t>Сок  фруктовый (яблочный)</t>
  </si>
  <si>
    <t>Капуста тушеная</t>
  </si>
  <si>
    <t>Чай -заварка</t>
  </si>
  <si>
    <t>Компот из свежих яблок</t>
  </si>
  <si>
    <t>Сок  фруктовый (абрикосовый)</t>
  </si>
  <si>
    <t>Сок  фруктовый (грушевый)</t>
  </si>
  <si>
    <t>летний</t>
  </si>
  <si>
    <t>Борщ с капустой и картофелем на бульоне</t>
  </si>
  <si>
    <t>Суп с макаронными изделиями и картофелем на бульоне</t>
  </si>
  <si>
    <t>Суп крестьянский с крупой (перловой) на  бульоне</t>
  </si>
  <si>
    <t>Зелёный горошек отварной консервированный</t>
  </si>
  <si>
    <t>Гуляш из отварного мяса в  соусе</t>
  </si>
  <si>
    <t>третья</t>
  </si>
  <si>
    <t>хлеб пшеничный с маслом</t>
  </si>
  <si>
    <t xml:space="preserve">МЕНЮ </t>
  </si>
  <si>
    <t>(2-х разового питания на 14 дней)</t>
  </si>
  <si>
    <t>для организации питания в муниципальных образовательных учреждениях</t>
  </si>
  <si>
    <t>дополнительного образования детских оздоровительно-образовательных лагерях</t>
  </si>
  <si>
    <t>в соответствии требованиям СанПиН 2.4.5.2409-08 «Санитарно-эпидемиологические</t>
  </si>
  <si>
    <t>требования к организации питания обучающихся в общеобразовательных учреждениях, учреждениях</t>
  </si>
  <si>
    <t>начального и среднего профессионального образования» и МР 2.4.5.0107-15 «Организация питания</t>
  </si>
  <si>
    <t>детей дошкольного и школьного возраста в организованных коллективах».</t>
  </si>
  <si>
    <t>Сборник технических нормативов-Сборник рецептур но продукцию для обучающихся во всех образовательных</t>
  </si>
  <si>
    <t>учреждениях/Под ред, М.П.Могильного и В.А.Тутельяна,-М,:Де/1и плюс, 2015,-544с</t>
  </si>
  <si>
    <t>В соответствии нормативов Учреждения Российской Академии Медицинских Наук Научно-исследовательский</t>
  </si>
  <si>
    <t>институт питания РАМН, 2011</t>
  </si>
  <si>
    <t>Разработано государственным бюджетным профессиональным образовательным учреждением «Тверской колледж</t>
  </si>
  <si>
    <t>сервиса и туризма».</t>
  </si>
  <si>
    <r>
      <rPr>
        <b/>
        <sz val="14"/>
        <color theme="1"/>
        <rFont val="Times New Roman"/>
        <family val="1"/>
        <charset val="204"/>
      </rPr>
      <t xml:space="preserve">Утверждаю </t>
    </r>
    <r>
      <rPr>
        <sz val="14"/>
        <color theme="1"/>
        <rFont val="Times New Roman"/>
        <family val="1"/>
        <charset val="204"/>
      </rPr>
      <t xml:space="preserve">                                      ИП Никитина ЮБ
ИП Никитина ЮБ _____________
«_____» ___________  2025г.
</t>
    </r>
  </si>
  <si>
    <r>
      <rPr>
        <b/>
        <sz val="14"/>
        <color theme="1"/>
        <rFont val="Times New Roman"/>
        <family val="1"/>
        <charset val="204"/>
      </rPr>
      <t xml:space="preserve">Согласованно </t>
    </r>
    <r>
      <rPr>
        <sz val="14"/>
        <color theme="1"/>
        <rFont val="Times New Roman"/>
        <family val="1"/>
        <charset val="204"/>
      </rPr>
      <t xml:space="preserve">
Директор ____________ 
«_____» _______________ 2025г.
</t>
    </r>
  </si>
  <si>
    <r>
      <rPr>
        <b/>
        <sz val="14"/>
        <color theme="1"/>
        <rFont val="Times New Roman"/>
        <family val="1"/>
        <charset val="204"/>
      </rPr>
      <t>Согласованно</t>
    </r>
    <r>
      <rPr>
        <sz val="14"/>
        <color theme="1"/>
        <rFont val="Times New Roman"/>
        <family val="1"/>
        <charset val="204"/>
      </rPr>
      <t xml:space="preserve">
Начальник УО
Казакова М.В ______________
«_____» _____________ 2025г.
</t>
    </r>
  </si>
  <si>
    <t>на летний лагерь 2025г.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</si>
</sst>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0"/>
      <color rgb="FF454545"/>
      <name val="Times New Roman"/>
      <family val="1"/>
      <charset val="204"/>
    </font>
    <font>
      <i/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25"/>
      <color theme="1"/>
      <name val="Times New Roman"/>
      <family val="1"/>
      <charset val="204"/>
    </font>
    <font>
      <sz val="25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i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4">
    <xf numFmtId="0" fontId="0" fillId="0" borderId="0" xfId="0"/>
    <xf numFmtId="0" fontId="0" fillId="0" borderId="0" xfId="0" applyFont="1"/>
    <xf numFmtId="43" fontId="3" fillId="0" borderId="1" xfId="1" applyFont="1" applyBorder="1" applyAlignment="1" applyProtection="1">
      <alignment vertical="center" wrapText="1"/>
      <protection hidden="1"/>
    </xf>
    <xf numFmtId="0" fontId="2" fillId="0" borderId="0" xfId="0" applyFont="1" applyProtection="1">
      <protection hidden="1"/>
    </xf>
    <xf numFmtId="43" fontId="3" fillId="0" borderId="1" xfId="1" applyFont="1" applyFill="1" applyBorder="1" applyAlignment="1" applyProtection="1">
      <alignment vertical="center" wrapText="1"/>
      <protection hidden="1"/>
    </xf>
    <xf numFmtId="0" fontId="2" fillId="0" borderId="0" xfId="0" applyFont="1" applyBorder="1" applyProtection="1">
      <protection hidden="1"/>
    </xf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Fill="1"/>
    <xf numFmtId="0" fontId="2" fillId="0" borderId="0" xfId="0" applyFont="1" applyFill="1" applyProtection="1">
      <protection hidden="1"/>
    </xf>
    <xf numFmtId="43" fontId="3" fillId="0" borderId="0" xfId="1" applyFont="1" applyFill="1" applyBorder="1" applyAlignment="1" applyProtection="1">
      <alignment horizontal="center" vertical="top" wrapText="1"/>
      <protection hidden="1"/>
    </xf>
    <xf numFmtId="0" fontId="3" fillId="3" borderId="1" xfId="0" applyFont="1" applyFill="1" applyBorder="1" applyAlignment="1" applyProtection="1">
      <alignment vertical="top" wrapText="1"/>
      <protection hidden="1"/>
    </xf>
    <xf numFmtId="0" fontId="5" fillId="0" borderId="0" xfId="0" applyFont="1" applyAlignment="1">
      <alignment vertical="center" wrapText="1"/>
    </xf>
    <xf numFmtId="0" fontId="2" fillId="0" borderId="1" xfId="0" applyFont="1" applyBorder="1"/>
    <xf numFmtId="0" fontId="2" fillId="0" borderId="1" xfId="0" applyFont="1" applyFill="1" applyBorder="1" applyAlignment="1" applyProtection="1">
      <alignment vertical="top" wrapText="1"/>
      <protection hidden="1"/>
    </xf>
    <xf numFmtId="0" fontId="2" fillId="0" borderId="0" xfId="0" applyFont="1" applyFill="1" applyBorder="1" applyProtection="1">
      <protection hidden="1"/>
    </xf>
    <xf numFmtId="0" fontId="2" fillId="0" borderId="0" xfId="0" applyFont="1" applyFill="1" applyAlignment="1" applyProtection="1">
      <alignment wrapText="1"/>
      <protection hidden="1"/>
    </xf>
    <xf numFmtId="0" fontId="6" fillId="0" borderId="1" xfId="0" applyFont="1" applyFill="1" applyBorder="1" applyAlignment="1" applyProtection="1">
      <alignment vertical="top" wrapText="1"/>
      <protection hidden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0" fontId="8" fillId="0" borderId="0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Protection="1">
      <protection hidden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 applyProtection="1">
      <alignment vertical="top" wrapText="1"/>
      <protection hidden="1"/>
    </xf>
    <xf numFmtId="43" fontId="2" fillId="5" borderId="1" xfId="0" applyNumberFormat="1" applyFont="1" applyFill="1" applyBorder="1" applyAlignment="1" applyProtection="1">
      <alignment vertical="top" wrapText="1"/>
      <protection hidden="1"/>
    </xf>
    <xf numFmtId="0" fontId="2" fillId="5" borderId="1" xfId="0" applyFont="1" applyFill="1" applyBorder="1" applyAlignment="1" applyProtection="1">
      <alignment horizontal="justify" vertical="center" wrapText="1"/>
      <protection hidden="1"/>
    </xf>
    <xf numFmtId="43" fontId="9" fillId="0" borderId="1" xfId="1" applyFont="1" applyBorder="1" applyAlignment="1" applyProtection="1">
      <alignment vertical="center" wrapText="1"/>
      <protection hidden="1"/>
    </xf>
    <xf numFmtId="43" fontId="9" fillId="0" borderId="1" xfId="1" applyFont="1" applyBorder="1" applyAlignment="1" applyProtection="1">
      <alignment horizontal="right" vertical="top" wrapText="1"/>
      <protection hidden="1"/>
    </xf>
    <xf numFmtId="0" fontId="9" fillId="0" borderId="1" xfId="0" applyFont="1" applyBorder="1" applyAlignment="1">
      <alignment horizontal="right" vertical="top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/>
    <xf numFmtId="43" fontId="3" fillId="3" borderId="1" xfId="1" applyFont="1" applyFill="1" applyBorder="1" applyAlignment="1" applyProtection="1">
      <alignment vertical="center" wrapText="1"/>
      <protection hidden="1"/>
    </xf>
    <xf numFmtId="0" fontId="2" fillId="3" borderId="0" xfId="0" applyFont="1" applyFill="1"/>
    <xf numFmtId="0" fontId="0" fillId="0" borderId="0" xfId="0" applyFont="1" applyAlignment="1">
      <alignment wrapText="1"/>
    </xf>
    <xf numFmtId="0" fontId="10" fillId="0" borderId="0" xfId="0" applyFont="1" applyAlignment="1">
      <alignment horizontal="justify" vertical="center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Fill="1" applyBorder="1" applyAlignment="1" applyProtection="1">
      <alignment horizontal="center" vertical="top" wrapText="1"/>
      <protection hidden="1"/>
    </xf>
    <xf numFmtId="0" fontId="3" fillId="0" borderId="1" xfId="0" applyFont="1" applyFill="1" applyBorder="1" applyAlignment="1" applyProtection="1">
      <alignment vertical="top" wrapText="1"/>
      <protection hidden="1"/>
    </xf>
    <xf numFmtId="0" fontId="0" fillId="0" borderId="0" xfId="0" applyFont="1" applyFill="1"/>
    <xf numFmtId="43" fontId="2" fillId="5" borderId="1" xfId="0" applyNumberFormat="1" applyFont="1" applyFill="1" applyBorder="1" applyAlignment="1" applyProtection="1">
      <alignment vertical="center" wrapText="1"/>
      <protection hidden="1"/>
    </xf>
    <xf numFmtId="0" fontId="3" fillId="3" borderId="1" xfId="0" applyFont="1" applyFill="1" applyBorder="1" applyAlignment="1" applyProtection="1">
      <alignment horizontal="center" vertical="top" wrapText="1"/>
      <protection hidden="1"/>
    </xf>
    <xf numFmtId="0" fontId="11" fillId="0" borderId="0" xfId="0" applyFont="1" applyAlignment="1">
      <alignment horizontal="justify" vertical="center"/>
    </xf>
    <xf numFmtId="0" fontId="0" fillId="0" borderId="0" xfId="0" applyNumberFormat="1" applyFont="1"/>
    <xf numFmtId="0" fontId="12" fillId="2" borderId="1" xfId="0" applyFont="1" applyFill="1" applyBorder="1" applyAlignment="1" applyProtection="1">
      <alignment horizontal="center" vertical="center" wrapText="1"/>
      <protection hidden="1"/>
    </xf>
    <xf numFmtId="0" fontId="3" fillId="0" borderId="1" xfId="0" applyNumberFormat="1" applyFont="1" applyFill="1" applyBorder="1" applyAlignment="1" applyProtection="1">
      <alignment horizontal="center" vertical="top" wrapText="1"/>
      <protection hidden="1"/>
    </xf>
    <xf numFmtId="0" fontId="0" fillId="0" borderId="0" xfId="0" applyFont="1" applyFill="1" applyBorder="1"/>
    <xf numFmtId="0" fontId="2" fillId="0" borderId="0" xfId="0" applyFont="1" applyBorder="1"/>
    <xf numFmtId="0" fontId="3" fillId="0" borderId="12" xfId="0" applyFont="1" applyBorder="1" applyAlignment="1" applyProtection="1">
      <alignment horizontal="center" vertical="top" wrapText="1"/>
      <protection hidden="1"/>
    </xf>
    <xf numFmtId="0" fontId="2" fillId="5" borderId="2" xfId="0" applyFont="1" applyFill="1" applyBorder="1" applyAlignment="1" applyProtection="1">
      <alignment vertical="top"/>
      <protection hidden="1"/>
    </xf>
    <xf numFmtId="0" fontId="0" fillId="5" borderId="1" xfId="0" applyFont="1" applyFill="1" applyBorder="1" applyAlignment="1" applyProtection="1">
      <alignment vertical="top"/>
      <protection hidden="1"/>
    </xf>
    <xf numFmtId="0" fontId="0" fillId="5" borderId="1" xfId="0" applyNumberFormat="1" applyFont="1" applyFill="1" applyBorder="1" applyAlignment="1" applyProtection="1">
      <alignment vertical="top"/>
      <protection hidden="1"/>
    </xf>
    <xf numFmtId="43" fontId="0" fillId="5" borderId="1" xfId="0" applyNumberFormat="1" applyFont="1" applyFill="1" applyBorder="1" applyAlignment="1" applyProtection="1">
      <alignment vertical="top"/>
      <protection hidden="1"/>
    </xf>
    <xf numFmtId="0" fontId="0" fillId="0" borderId="0" xfId="0" applyFont="1" applyBorder="1"/>
    <xf numFmtId="43" fontId="3" fillId="0" borderId="2" xfId="1" applyFont="1" applyFill="1" applyBorder="1" applyAlignment="1" applyProtection="1">
      <alignment vertical="center" wrapText="1"/>
      <protection hidden="1"/>
    </xf>
    <xf numFmtId="0" fontId="3" fillId="3" borderId="1" xfId="0" applyNumberFormat="1" applyFont="1" applyFill="1" applyBorder="1" applyAlignment="1" applyProtection="1">
      <alignment horizontal="center" vertical="top" wrapText="1"/>
      <protection hidden="1"/>
    </xf>
    <xf numFmtId="0" fontId="3" fillId="0" borderId="1" xfId="0" applyFont="1" applyBorder="1" applyAlignment="1" applyProtection="1">
      <alignment horizontal="center" vertical="top" wrapText="1"/>
      <protection hidden="1"/>
    </xf>
    <xf numFmtId="0" fontId="3" fillId="0" borderId="1" xfId="0" applyNumberFormat="1" applyFont="1" applyBorder="1" applyAlignment="1" applyProtection="1">
      <alignment horizontal="center" vertical="top" wrapText="1"/>
      <protection hidden="1"/>
    </xf>
    <xf numFmtId="0" fontId="2" fillId="5" borderId="2" xfId="0" applyFont="1" applyFill="1" applyBorder="1" applyAlignment="1" applyProtection="1">
      <alignment vertical="top" wrapText="1"/>
      <protection hidden="1"/>
    </xf>
    <xf numFmtId="0" fontId="0" fillId="5" borderId="3" xfId="0" applyFont="1" applyFill="1" applyBorder="1" applyAlignment="1" applyProtection="1">
      <protection hidden="1"/>
    </xf>
    <xf numFmtId="0" fontId="0" fillId="5" borderId="3" xfId="0" applyNumberFormat="1" applyFont="1" applyFill="1" applyBorder="1" applyAlignment="1" applyProtection="1">
      <protection hidden="1"/>
    </xf>
    <xf numFmtId="43" fontId="3" fillId="5" borderId="3" xfId="0" applyNumberFormat="1" applyFont="1" applyFill="1" applyBorder="1" applyAlignment="1" applyProtection="1">
      <protection hidden="1"/>
    </xf>
    <xf numFmtId="43" fontId="0" fillId="5" borderId="3" xfId="0" applyNumberFormat="1" applyFont="1" applyFill="1" applyBorder="1" applyAlignment="1" applyProtection="1">
      <protection hidden="1"/>
    </xf>
    <xf numFmtId="0" fontId="11" fillId="0" borderId="0" xfId="0" applyFont="1" applyFill="1" applyAlignment="1">
      <alignment horizontal="justify" vertical="center"/>
    </xf>
    <xf numFmtId="0" fontId="0" fillId="0" borderId="0" xfId="0" applyFont="1" applyFill="1" applyAlignment="1">
      <alignment wrapText="1"/>
    </xf>
    <xf numFmtId="0" fontId="12" fillId="0" borderId="1" xfId="0" applyFont="1" applyFill="1" applyBorder="1" applyAlignment="1" applyProtection="1">
      <alignment horizontal="center" vertical="center" wrapText="1"/>
      <protection hidden="1"/>
    </xf>
    <xf numFmtId="0" fontId="3" fillId="0" borderId="5" xfId="0" applyFont="1" applyFill="1" applyBorder="1" applyAlignment="1" applyProtection="1">
      <alignment horizontal="center" vertical="top" wrapText="1"/>
      <protection hidden="1"/>
    </xf>
    <xf numFmtId="0" fontId="2" fillId="0" borderId="0" xfId="0" applyFont="1" applyFill="1" applyBorder="1"/>
    <xf numFmtId="43" fontId="2" fillId="5" borderId="1" xfId="0" applyNumberFormat="1" applyFont="1" applyFill="1" applyBorder="1" applyAlignment="1" applyProtection="1">
      <alignment horizontal="justify" vertical="center" wrapText="1"/>
      <protection hidden="1"/>
    </xf>
    <xf numFmtId="0" fontId="2" fillId="5" borderId="1" xfId="0" applyFont="1" applyFill="1" applyBorder="1" applyAlignment="1" applyProtection="1">
      <alignment horizontal="center" vertical="center" wrapText="1"/>
      <protection hidden="1"/>
    </xf>
    <xf numFmtId="0" fontId="0" fillId="5" borderId="0" xfId="0" applyFont="1" applyFill="1"/>
    <xf numFmtId="0" fontId="6" fillId="0" borderId="0" xfId="0" applyFont="1" applyAlignment="1">
      <alignment horizontal="justify" vertical="center"/>
    </xf>
    <xf numFmtId="0" fontId="4" fillId="0" borderId="3" xfId="0" applyFont="1" applyFill="1" applyBorder="1" applyAlignment="1" applyProtection="1">
      <alignment vertical="top" wrapText="1"/>
      <protection hidden="1"/>
    </xf>
    <xf numFmtId="0" fontId="4" fillId="0" borderId="2" xfId="0" applyFont="1" applyFill="1" applyBorder="1" applyAlignment="1" applyProtection="1">
      <alignment vertical="top" wrapText="1"/>
      <protection hidden="1"/>
    </xf>
    <xf numFmtId="0" fontId="4" fillId="0" borderId="4" xfId="0" applyFont="1" applyFill="1" applyBorder="1" applyAlignment="1" applyProtection="1">
      <alignment vertical="top" wrapText="1"/>
      <protection hidden="1"/>
    </xf>
    <xf numFmtId="0" fontId="0" fillId="0" borderId="13" xfId="0" applyFont="1" applyFill="1" applyBorder="1"/>
    <xf numFmtId="43" fontId="2" fillId="0" borderId="0" xfId="0" applyNumberFormat="1" applyFont="1" applyFill="1" applyBorder="1" applyAlignment="1" applyProtection="1">
      <alignment horizontal="justify" vertical="center" wrapText="1"/>
      <protection hidden="1"/>
    </xf>
    <xf numFmtId="0" fontId="2" fillId="0" borderId="0" xfId="0" applyFont="1" applyFill="1" applyBorder="1" applyAlignment="1" applyProtection="1">
      <alignment vertical="top" wrapText="1"/>
      <protection hidden="1"/>
    </xf>
    <xf numFmtId="0" fontId="2" fillId="0" borderId="0" xfId="0" applyFont="1" applyFill="1" applyBorder="1" applyAlignment="1" applyProtection="1">
      <alignment horizontal="center" vertical="top" wrapText="1"/>
      <protection hidden="1"/>
    </xf>
    <xf numFmtId="43" fontId="2" fillId="4" borderId="0" xfId="0" applyNumberFormat="1" applyFont="1" applyFill="1" applyBorder="1" applyAlignment="1" applyProtection="1">
      <alignment horizontal="justify" vertical="center" wrapText="1"/>
      <protection hidden="1"/>
    </xf>
    <xf numFmtId="0" fontId="2" fillId="0" borderId="0" xfId="0" applyFont="1" applyBorder="1" applyAlignment="1" applyProtection="1">
      <alignment horizontal="justify" vertical="top" wrapText="1"/>
      <protection hidden="1"/>
    </xf>
    <xf numFmtId="0" fontId="3" fillId="0" borderId="1" xfId="0" applyFont="1" applyBorder="1" applyAlignment="1" applyProtection="1">
      <alignment vertical="top" wrapText="1"/>
      <protection hidden="1"/>
    </xf>
    <xf numFmtId="0" fontId="4" fillId="0" borderId="1" xfId="0" applyFont="1" applyBorder="1" applyAlignment="1" applyProtection="1">
      <alignment vertical="top" wrapText="1"/>
      <protection hidden="1"/>
    </xf>
    <xf numFmtId="0" fontId="4" fillId="0" borderId="0" xfId="0" applyFont="1" applyAlignment="1">
      <alignment wrapText="1"/>
    </xf>
    <xf numFmtId="0" fontId="4" fillId="0" borderId="0" xfId="0" applyFont="1"/>
    <xf numFmtId="0" fontId="13" fillId="0" borderId="0" xfId="0" applyFont="1" applyAlignment="1">
      <alignment wrapText="1"/>
    </xf>
    <xf numFmtId="0" fontId="13" fillId="0" borderId="0" xfId="0" applyFont="1"/>
    <xf numFmtId="0" fontId="8" fillId="0" borderId="0" xfId="0" applyFont="1"/>
    <xf numFmtId="0" fontId="17" fillId="0" borderId="0" xfId="0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justify"/>
    </xf>
    <xf numFmtId="0" fontId="3" fillId="0" borderId="5" xfId="0" applyFont="1" applyFill="1" applyBorder="1" applyAlignment="1" applyProtection="1">
      <alignment horizontal="center" vertical="top" wrapText="1"/>
      <protection hidden="1"/>
    </xf>
    <xf numFmtId="0" fontId="3" fillId="0" borderId="8" xfId="0" applyFont="1" applyFill="1" applyBorder="1" applyAlignment="1" applyProtection="1">
      <alignment horizontal="center" vertical="top" wrapText="1"/>
      <protection hidden="1"/>
    </xf>
    <xf numFmtId="43" fontId="3" fillId="0" borderId="12" xfId="1" applyFont="1" applyFill="1" applyBorder="1" applyAlignment="1" applyProtection="1">
      <alignment horizontal="center" vertical="center" wrapText="1"/>
      <protection hidden="1"/>
    </xf>
    <xf numFmtId="43" fontId="3" fillId="0" borderId="9" xfId="1" applyFont="1" applyFill="1" applyBorder="1" applyAlignment="1" applyProtection="1">
      <alignment horizontal="center" vertical="center" wrapText="1"/>
      <protection hidden="1"/>
    </xf>
    <xf numFmtId="43" fontId="3" fillId="0" borderId="10" xfId="1" applyFont="1" applyFill="1" applyBorder="1" applyAlignment="1" applyProtection="1">
      <alignment horizontal="center" vertical="center" wrapText="1"/>
      <protection hidden="1"/>
    </xf>
    <xf numFmtId="43" fontId="3" fillId="0" borderId="13" xfId="1" applyFont="1" applyFill="1" applyBorder="1" applyAlignment="1" applyProtection="1">
      <alignment horizontal="center" vertical="center" wrapText="1"/>
      <protection hidden="1"/>
    </xf>
    <xf numFmtId="43" fontId="3" fillId="0" borderId="0" xfId="1" applyFont="1" applyFill="1" applyBorder="1" applyAlignment="1" applyProtection="1">
      <alignment horizontal="center" vertical="center" wrapText="1"/>
      <protection hidden="1"/>
    </xf>
    <xf numFmtId="43" fontId="3" fillId="0" borderId="11" xfId="1" applyFont="1" applyFill="1" applyBorder="1" applyAlignment="1" applyProtection="1">
      <alignment horizontal="center" vertical="center" wrapText="1"/>
      <protection hidden="1"/>
    </xf>
    <xf numFmtId="0" fontId="2" fillId="0" borderId="3" xfId="0" applyFont="1" applyFill="1" applyBorder="1" applyAlignment="1" applyProtection="1">
      <alignment horizontal="center" vertical="top" wrapText="1"/>
      <protection hidden="1"/>
    </xf>
    <xf numFmtId="0" fontId="2" fillId="0" borderId="4" xfId="0" applyFont="1" applyFill="1" applyBorder="1" applyAlignment="1" applyProtection="1">
      <alignment horizontal="center" vertical="top" wrapText="1"/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0" fontId="2" fillId="2" borderId="3" xfId="0" applyFont="1" applyFill="1" applyBorder="1" applyAlignment="1" applyProtection="1">
      <alignment horizontal="center" vertical="center" wrapText="1"/>
      <protection hidden="1"/>
    </xf>
    <xf numFmtId="0" fontId="2" fillId="2" borderId="4" xfId="0" applyFont="1" applyFill="1" applyBorder="1" applyAlignment="1" applyProtection="1">
      <alignment horizontal="center" vertical="center" wrapText="1"/>
      <protection hidden="1"/>
    </xf>
    <xf numFmtId="0" fontId="2" fillId="2" borderId="5" xfId="0" applyFont="1" applyFill="1" applyBorder="1" applyAlignment="1" applyProtection="1">
      <alignment horizontal="center" vertical="center" wrapText="1"/>
      <protection hidden="1"/>
    </xf>
    <xf numFmtId="0" fontId="2" fillId="2" borderId="6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top" wrapText="1"/>
      <protection hidden="1"/>
    </xf>
    <xf numFmtId="0" fontId="2" fillId="0" borderId="6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vertical="center" wrapText="1"/>
      <protection hidden="1"/>
    </xf>
    <xf numFmtId="0" fontId="12" fillId="2" borderId="2" xfId="0" applyFont="1" applyFill="1" applyBorder="1" applyAlignment="1" applyProtection="1">
      <alignment horizontal="center" vertical="center" wrapText="1"/>
      <protection hidden="1"/>
    </xf>
    <xf numFmtId="0" fontId="12" fillId="2" borderId="3" xfId="0" applyFont="1" applyFill="1" applyBorder="1" applyAlignment="1" applyProtection="1">
      <alignment horizontal="center" vertical="center" wrapText="1"/>
      <protection hidden="1"/>
    </xf>
    <xf numFmtId="0" fontId="12" fillId="2" borderId="4" xfId="0" applyFont="1" applyFill="1" applyBorder="1" applyAlignment="1" applyProtection="1">
      <alignment horizontal="center" vertical="center" wrapText="1"/>
      <protection hidden="1"/>
    </xf>
    <xf numFmtId="0" fontId="4" fillId="0" borderId="5" xfId="0" applyFont="1" applyBorder="1" applyAlignment="1" applyProtection="1">
      <alignment horizontal="center" vertical="top" wrapText="1"/>
      <protection hidden="1"/>
    </xf>
    <xf numFmtId="0" fontId="4" fillId="0" borderId="1" xfId="0" applyFont="1" applyBorder="1" applyAlignment="1" applyProtection="1">
      <alignment horizontal="center" vertical="top" wrapText="1"/>
      <protection hidden="1"/>
    </xf>
    <xf numFmtId="0" fontId="3" fillId="0" borderId="6" xfId="0" applyFont="1" applyFill="1" applyBorder="1" applyAlignment="1" applyProtection="1">
      <alignment horizontal="center" vertical="top" wrapText="1"/>
      <protection hidden="1"/>
    </xf>
    <xf numFmtId="43" fontId="3" fillId="0" borderId="2" xfId="1" applyFont="1" applyFill="1" applyBorder="1" applyAlignment="1" applyProtection="1">
      <alignment horizontal="center" vertical="center" wrapText="1"/>
      <protection hidden="1"/>
    </xf>
    <xf numFmtId="43" fontId="3" fillId="0" borderId="3" xfId="1" applyFont="1" applyFill="1" applyBorder="1" applyAlignment="1" applyProtection="1">
      <alignment horizontal="center" vertical="center" wrapText="1"/>
      <protection hidden="1"/>
    </xf>
    <xf numFmtId="43" fontId="3" fillId="0" borderId="4" xfId="1" applyFont="1" applyFill="1" applyBorder="1" applyAlignment="1" applyProtection="1">
      <alignment horizontal="center" vertical="center" wrapText="1"/>
      <protection hidden="1"/>
    </xf>
    <xf numFmtId="0" fontId="12" fillId="2" borderId="5" xfId="0" applyFont="1" applyFill="1" applyBorder="1" applyAlignment="1" applyProtection="1">
      <alignment horizontal="center" vertical="center" wrapText="1"/>
      <protection hidden="1"/>
    </xf>
    <xf numFmtId="0" fontId="12" fillId="2" borderId="6" xfId="0" applyFont="1" applyFill="1" applyBorder="1" applyAlignment="1" applyProtection="1">
      <alignment horizontal="center" vertical="center" wrapText="1"/>
      <protection hidden="1"/>
    </xf>
    <xf numFmtId="0" fontId="0" fillId="0" borderId="6" xfId="0" applyFont="1" applyBorder="1" applyAlignment="1" applyProtection="1">
      <alignment vertical="center" wrapText="1"/>
      <protection hidden="1"/>
    </xf>
    <xf numFmtId="0" fontId="12" fillId="2" borderId="5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6" xfId="0" applyNumberFormat="1" applyFont="1" applyBorder="1" applyAlignment="1" applyProtection="1">
      <alignment horizontal="center" vertical="center" wrapText="1"/>
      <protection hidden="1"/>
    </xf>
    <xf numFmtId="0" fontId="8" fillId="0" borderId="1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top" wrapText="1"/>
      <protection hidden="1"/>
    </xf>
    <xf numFmtId="0" fontId="12" fillId="0" borderId="5" xfId="0" applyFont="1" applyFill="1" applyBorder="1" applyAlignment="1" applyProtection="1">
      <alignment horizontal="center" vertical="center" wrapText="1"/>
      <protection hidden="1"/>
    </xf>
    <xf numFmtId="0" fontId="12" fillId="0" borderId="6" xfId="0" applyFont="1" applyFill="1" applyBorder="1" applyAlignment="1" applyProtection="1">
      <alignment horizontal="center" vertical="center" wrapText="1"/>
      <protection hidden="1"/>
    </xf>
    <xf numFmtId="0" fontId="0" fillId="0" borderId="6" xfId="0" applyFont="1" applyFill="1" applyBorder="1" applyAlignment="1" applyProtection="1">
      <alignment vertical="center" wrapText="1"/>
      <protection hidden="1"/>
    </xf>
    <xf numFmtId="0" fontId="0" fillId="0" borderId="6" xfId="0" applyFont="1" applyFill="1" applyBorder="1" applyAlignment="1" applyProtection="1">
      <alignment horizontal="center" vertical="center" wrapText="1"/>
      <protection hidden="1"/>
    </xf>
    <xf numFmtId="0" fontId="12" fillId="0" borderId="2" xfId="0" applyFont="1" applyFill="1" applyBorder="1" applyAlignment="1" applyProtection="1">
      <alignment horizontal="center" vertical="center" wrapText="1"/>
      <protection hidden="1"/>
    </xf>
    <xf numFmtId="0" fontId="12" fillId="0" borderId="3" xfId="0" applyFont="1" applyFill="1" applyBorder="1" applyAlignment="1" applyProtection="1">
      <alignment horizontal="center" vertical="center" wrapText="1"/>
      <protection hidden="1"/>
    </xf>
    <xf numFmtId="0" fontId="12" fillId="0" borderId="4" xfId="0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Fill="1" applyBorder="1" applyAlignment="1" applyProtection="1">
      <alignment horizontal="center" vertical="top" wrapText="1"/>
      <protection hidden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top" wrapText="1"/>
      <protection hidden="1"/>
    </xf>
    <xf numFmtId="0" fontId="4" fillId="0" borderId="3" xfId="0" applyFont="1" applyFill="1" applyBorder="1" applyAlignment="1" applyProtection="1">
      <alignment horizontal="center" vertical="top" wrapText="1"/>
      <protection hidden="1"/>
    </xf>
    <xf numFmtId="0" fontId="4" fillId="0" borderId="4" xfId="0" applyFont="1" applyFill="1" applyBorder="1" applyAlignment="1" applyProtection="1">
      <alignment horizontal="center" vertical="top" wrapText="1"/>
      <protection hidden="1"/>
    </xf>
    <xf numFmtId="0" fontId="0" fillId="0" borderId="6" xfId="0" applyFont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horizontal="center" vertical="top" wrapText="1"/>
      <protection hidden="1"/>
    </xf>
    <xf numFmtId="0" fontId="4" fillId="0" borderId="4" xfId="0" applyFont="1" applyBorder="1" applyAlignment="1" applyProtection="1">
      <alignment horizontal="center" vertical="top" wrapText="1"/>
      <protection hidden="1"/>
    </xf>
    <xf numFmtId="0" fontId="18" fillId="0" borderId="0" xfId="0" applyFont="1" applyAlignment="1">
      <alignment horizontal="center"/>
    </xf>
    <xf numFmtId="0" fontId="17" fillId="0" borderId="0" xfId="0" applyFont="1"/>
    <xf numFmtId="0" fontId="15" fillId="0" borderId="0" xfId="0" applyFont="1" applyAlignment="1">
      <alignment horizontal="center"/>
    </xf>
    <xf numFmtId="0" fontId="16" fillId="0" borderId="0" xfId="0" applyFont="1"/>
    <xf numFmtId="0" fontId="19" fillId="0" borderId="0" xfId="0" applyFont="1" applyAlignment="1">
      <alignment horizontal="center"/>
    </xf>
    <xf numFmtId="0" fontId="17" fillId="0" borderId="0" xfId="0" applyFont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/>
  <dimension ref="A1:AA315"/>
  <sheetViews>
    <sheetView tabSelected="1" view="pageBreakPreview" topLeftCell="A142" zoomScale="80" zoomScaleSheetLayoutView="80" workbookViewId="0">
      <selection activeCell="F12" sqref="F12"/>
    </sheetView>
  </sheetViews>
  <sheetFormatPr defaultColWidth="9.140625" defaultRowHeight="12.75"/>
  <cols>
    <col min="1" max="1" width="14.7109375" style="7" customWidth="1"/>
    <col min="2" max="2" width="32" style="7" bestFit="1" customWidth="1"/>
    <col min="3" max="3" width="9.28515625" style="7" bestFit="1" customWidth="1"/>
    <col min="4" max="4" width="11.28515625" style="7" bestFit="1" customWidth="1"/>
    <col min="5" max="6" width="9.28515625" style="7" bestFit="1" customWidth="1"/>
    <col min="7" max="7" width="12.7109375" style="7" customWidth="1"/>
    <col min="8" max="8" width="10.85546875" style="7" customWidth="1"/>
    <col min="9" max="9" width="10.7109375" style="7" customWidth="1"/>
    <col min="10" max="10" width="9.28515625" style="7" bestFit="1" customWidth="1"/>
    <col min="11" max="11" width="11.28515625" style="7" customWidth="1"/>
    <col min="12" max="12" width="12.28515625" style="7" customWidth="1"/>
    <col min="13" max="13" width="10.42578125" style="7" bestFit="1" customWidth="1"/>
    <col min="14" max="15" width="9.28515625" style="7" bestFit="1" customWidth="1"/>
    <col min="16" max="16384" width="9.140625" style="7"/>
  </cols>
  <sheetData>
    <row r="1" spans="1:15">
      <c r="A1" s="41" t="s">
        <v>27</v>
      </c>
      <c r="B1" s="6" t="s">
        <v>28</v>
      </c>
    </row>
    <row r="2" spans="1:15">
      <c r="A2" s="41" t="s">
        <v>29</v>
      </c>
      <c r="B2" s="6" t="s">
        <v>30</v>
      </c>
    </row>
    <row r="3" spans="1:15">
      <c r="A3" s="41" t="s">
        <v>31</v>
      </c>
      <c r="B3" s="6" t="s">
        <v>78</v>
      </c>
    </row>
    <row r="4" spans="1:15" ht="25.5">
      <c r="A4" s="41" t="s">
        <v>32</v>
      </c>
      <c r="B4" s="6" t="s">
        <v>33</v>
      </c>
    </row>
    <row r="5" spans="1:15" ht="15.75" customHeight="1">
      <c r="A5" s="112" t="s">
        <v>21</v>
      </c>
      <c r="B5" s="112" t="s">
        <v>18</v>
      </c>
      <c r="C5" s="112" t="s">
        <v>20</v>
      </c>
      <c r="D5" s="109" t="s">
        <v>24</v>
      </c>
      <c r="E5" s="110"/>
      <c r="F5" s="111"/>
      <c r="G5" s="112" t="s">
        <v>0</v>
      </c>
      <c r="H5" s="109" t="s">
        <v>23</v>
      </c>
      <c r="I5" s="110"/>
      <c r="J5" s="110"/>
      <c r="K5" s="111"/>
      <c r="L5" s="109" t="s">
        <v>22</v>
      </c>
      <c r="M5" s="110"/>
      <c r="N5" s="110"/>
      <c r="O5" s="111"/>
    </row>
    <row r="6" spans="1:15" ht="24" customHeight="1">
      <c r="A6" s="113"/>
      <c r="B6" s="116"/>
      <c r="C6" s="115"/>
      <c r="D6" s="42" t="s">
        <v>1</v>
      </c>
      <c r="E6" s="42" t="s">
        <v>2</v>
      </c>
      <c r="F6" s="42" t="s">
        <v>3</v>
      </c>
      <c r="G6" s="113"/>
      <c r="H6" s="42" t="s">
        <v>42</v>
      </c>
      <c r="I6" s="42" t="s">
        <v>4</v>
      </c>
      <c r="J6" s="42" t="s">
        <v>5</v>
      </c>
      <c r="K6" s="42" t="s">
        <v>6</v>
      </c>
      <c r="L6" s="42" t="s">
        <v>7</v>
      </c>
      <c r="M6" s="42" t="s">
        <v>8</v>
      </c>
      <c r="N6" s="42" t="s">
        <v>9</v>
      </c>
      <c r="O6" s="42" t="s">
        <v>10</v>
      </c>
    </row>
    <row r="7" spans="1:15">
      <c r="A7" s="114" t="s">
        <v>25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</row>
    <row r="8" spans="1:15" s="8" customFormat="1" ht="38.25">
      <c r="A8" s="43">
        <v>173</v>
      </c>
      <c r="B8" s="44" t="s">
        <v>70</v>
      </c>
      <c r="C8" s="43" t="s">
        <v>62</v>
      </c>
      <c r="D8" s="4">
        <v>9.0399999999999991</v>
      </c>
      <c r="E8" s="4">
        <v>13.44</v>
      </c>
      <c r="F8" s="4">
        <v>40.159999999999997</v>
      </c>
      <c r="G8" s="4">
        <v>318</v>
      </c>
      <c r="H8" s="4">
        <v>0.21</v>
      </c>
      <c r="I8" s="4">
        <v>0.96</v>
      </c>
      <c r="J8" s="4">
        <v>54.8</v>
      </c>
      <c r="K8" s="4">
        <v>0.73</v>
      </c>
      <c r="L8" s="4">
        <v>158.65</v>
      </c>
      <c r="M8" s="4">
        <v>264.86</v>
      </c>
      <c r="N8" s="4">
        <v>72.05</v>
      </c>
      <c r="O8" s="4">
        <v>2.09</v>
      </c>
    </row>
    <row r="9" spans="1:15" s="45" customFormat="1" ht="15">
      <c r="A9" s="99">
        <v>2</v>
      </c>
      <c r="B9" s="44" t="s">
        <v>85</v>
      </c>
      <c r="C9" s="43">
        <v>60</v>
      </c>
      <c r="D9" s="4">
        <v>3.7</v>
      </c>
      <c r="E9" s="4">
        <v>8.5</v>
      </c>
      <c r="F9" s="4">
        <v>26.25</v>
      </c>
      <c r="G9" s="4">
        <v>155</v>
      </c>
      <c r="H9" s="4">
        <v>3.4000000000000002E-2</v>
      </c>
      <c r="I9" s="4">
        <v>0.11</v>
      </c>
      <c r="J9" s="4">
        <v>0.13</v>
      </c>
      <c r="K9" s="4">
        <v>0.44</v>
      </c>
      <c r="L9" s="4">
        <v>8.4</v>
      </c>
      <c r="M9" s="4">
        <v>22.5</v>
      </c>
      <c r="N9" s="4">
        <v>4.2</v>
      </c>
      <c r="O9" s="4">
        <v>0.35</v>
      </c>
    </row>
    <row r="10" spans="1:15" s="45" customFormat="1" ht="15">
      <c r="A10" s="100"/>
      <c r="B10" s="14" t="s">
        <v>49</v>
      </c>
      <c r="C10" s="18">
        <v>50</v>
      </c>
      <c r="D10" s="101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3"/>
    </row>
    <row r="11" spans="1:15" s="45" customFormat="1" ht="15">
      <c r="A11" s="100"/>
      <c r="B11" s="14" t="s">
        <v>50</v>
      </c>
      <c r="C11" s="18">
        <v>10</v>
      </c>
      <c r="D11" s="104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6"/>
    </row>
    <row r="12" spans="1:15" s="45" customFormat="1" ht="15">
      <c r="A12" s="43">
        <v>382</v>
      </c>
      <c r="B12" s="44" t="s">
        <v>35</v>
      </c>
      <c r="C12" s="43">
        <v>200</v>
      </c>
      <c r="D12" s="4">
        <f>20.39/10*2</f>
        <v>4.0780000000000003</v>
      </c>
      <c r="E12" s="4">
        <f>17.72/10*2</f>
        <v>3.5439999999999996</v>
      </c>
      <c r="F12" s="4">
        <f>87.89/10*2</f>
        <v>17.577999999999999</v>
      </c>
      <c r="G12" s="4">
        <f>593/10*2</f>
        <v>118.6</v>
      </c>
      <c r="H12" s="4">
        <f>0.28/10*2</f>
        <v>5.6000000000000008E-2</v>
      </c>
      <c r="I12" s="4">
        <f>7.94/10*2</f>
        <v>1.5880000000000001</v>
      </c>
      <c r="J12" s="4">
        <f>122/10*2</f>
        <v>24.4</v>
      </c>
      <c r="K12" s="4"/>
      <c r="L12" s="4">
        <f>761.1/10*2</f>
        <v>152.22</v>
      </c>
      <c r="M12" s="4">
        <f>622.8/10*2</f>
        <v>124.55999999999999</v>
      </c>
      <c r="N12" s="4">
        <f>106.7/10*2</f>
        <v>21.34</v>
      </c>
      <c r="O12" s="4">
        <f>2.39/10*2</f>
        <v>0.47800000000000004</v>
      </c>
    </row>
    <row r="13" spans="1:15" s="45" customFormat="1" ht="15">
      <c r="A13" s="14"/>
      <c r="B13" s="44" t="s">
        <v>49</v>
      </c>
      <c r="C13" s="43">
        <v>40</v>
      </c>
      <c r="D13" s="4">
        <v>3.16</v>
      </c>
      <c r="E13" s="4">
        <v>0.4</v>
      </c>
      <c r="F13" s="4">
        <v>19.32</v>
      </c>
      <c r="G13" s="4">
        <v>93.52</v>
      </c>
      <c r="H13" s="4">
        <v>0.04</v>
      </c>
      <c r="I13" s="4"/>
      <c r="J13" s="4"/>
      <c r="K13" s="4">
        <v>0.52</v>
      </c>
      <c r="L13" s="4">
        <v>9.1999999999999993</v>
      </c>
      <c r="M13" s="4">
        <v>34.799999999999997</v>
      </c>
      <c r="N13" s="4">
        <v>13.2</v>
      </c>
      <c r="O13" s="4">
        <v>0.44</v>
      </c>
    </row>
    <row r="14" spans="1:15" s="8" customFormat="1">
      <c r="A14" s="27" t="s">
        <v>11</v>
      </c>
      <c r="B14" s="27"/>
      <c r="C14" s="27"/>
      <c r="D14" s="28">
        <f>SUM(D8:D13)</f>
        <v>19.977999999999998</v>
      </c>
      <c r="E14" s="28">
        <f>SUM(E8:E13)</f>
        <v>25.883999999999997</v>
      </c>
      <c r="F14" s="28">
        <f>SUM(F8:F13)</f>
        <v>103.30799999999999</v>
      </c>
      <c r="G14" s="28">
        <f>SUM(G8:G13)</f>
        <v>685.12</v>
      </c>
      <c r="H14" s="46"/>
      <c r="I14" s="46"/>
      <c r="J14" s="46"/>
      <c r="K14" s="46"/>
      <c r="L14" s="46"/>
      <c r="M14" s="46"/>
      <c r="N14" s="46"/>
      <c r="O14" s="46"/>
    </row>
    <row r="15" spans="1:15" s="8" customFormat="1" ht="15" customHeight="1">
      <c r="A15" s="107" t="s">
        <v>19</v>
      </c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8"/>
    </row>
    <row r="16" spans="1:15" s="39" customFormat="1" ht="25.5">
      <c r="A16" s="47">
        <v>131</v>
      </c>
      <c r="B16" s="11" t="s">
        <v>82</v>
      </c>
      <c r="C16" s="47">
        <v>25</v>
      </c>
      <c r="D16" s="38">
        <v>0.81</v>
      </c>
      <c r="E16" s="38">
        <v>0.93</v>
      </c>
      <c r="F16" s="38">
        <v>1.5</v>
      </c>
      <c r="G16" s="38">
        <v>17.75</v>
      </c>
      <c r="H16" s="38">
        <v>0.02</v>
      </c>
      <c r="I16" s="38">
        <v>2.73</v>
      </c>
      <c r="J16" s="38">
        <v>4.76</v>
      </c>
      <c r="K16" s="38">
        <v>0.06</v>
      </c>
      <c r="L16" s="38">
        <v>6.67</v>
      </c>
      <c r="M16" s="38">
        <v>16.46</v>
      </c>
      <c r="N16" s="38">
        <v>5.66</v>
      </c>
      <c r="O16" s="38">
        <v>0.2</v>
      </c>
    </row>
    <row r="17" spans="1:19" s="45" customFormat="1" ht="38.25">
      <c r="A17" s="43">
        <v>96</v>
      </c>
      <c r="B17" s="44" t="s">
        <v>57</v>
      </c>
      <c r="C17" s="43">
        <v>250</v>
      </c>
      <c r="D17" s="4">
        <f>8.07/4+0.8</f>
        <v>2.8174999999999999</v>
      </c>
      <c r="E17" s="4">
        <f>(20.36/4)+0.2</f>
        <v>5.29</v>
      </c>
      <c r="F17" s="4">
        <f>47.92/4</f>
        <v>11.98</v>
      </c>
      <c r="G17" s="4">
        <f>429/4+5+30</f>
        <v>142.25</v>
      </c>
      <c r="H17" s="4">
        <f>0.37/4</f>
        <v>9.2499999999999999E-2</v>
      </c>
      <c r="I17" s="4">
        <f>33.5/4</f>
        <v>8.375</v>
      </c>
      <c r="J17" s="4"/>
      <c r="K17" s="4">
        <f>9.4/4</f>
        <v>2.35</v>
      </c>
      <c r="L17" s="4">
        <f>116.6/4+2</f>
        <v>31.15</v>
      </c>
      <c r="M17" s="4">
        <f>226.9/4</f>
        <v>56.725000000000001</v>
      </c>
      <c r="N17" s="4">
        <f>96.7/4</f>
        <v>24.175000000000001</v>
      </c>
      <c r="O17" s="4">
        <f>3.7/4</f>
        <v>0.92500000000000004</v>
      </c>
    </row>
    <row r="18" spans="1:19" s="8" customFormat="1">
      <c r="A18" s="43">
        <v>309</v>
      </c>
      <c r="B18" s="44" t="s">
        <v>12</v>
      </c>
      <c r="C18" s="43">
        <v>150</v>
      </c>
      <c r="D18" s="4">
        <f>36.78/100*15</f>
        <v>5.5170000000000003</v>
      </c>
      <c r="E18" s="4">
        <f>30.1/100*15</f>
        <v>4.5149999999999997</v>
      </c>
      <c r="F18" s="4">
        <f>176.3/100*15</f>
        <v>26.445</v>
      </c>
      <c r="G18" s="4">
        <f>1123/100*15</f>
        <v>168.45000000000002</v>
      </c>
      <c r="H18" s="4">
        <f>0.37/100*15</f>
        <v>5.5500000000000001E-2</v>
      </c>
      <c r="I18" s="4"/>
      <c r="J18" s="4"/>
      <c r="K18" s="4">
        <f>6.46/100*15</f>
        <v>0.96900000000000008</v>
      </c>
      <c r="L18" s="4">
        <f>32.4/100*15</f>
        <v>4.8600000000000003</v>
      </c>
      <c r="M18" s="4">
        <f>247.8/100*15</f>
        <v>37.17</v>
      </c>
      <c r="N18" s="4">
        <f>140.8/100*15</f>
        <v>21.12</v>
      </c>
      <c r="O18" s="4">
        <f>7.37/100*15</f>
        <v>1.1054999999999999</v>
      </c>
    </row>
    <row r="19" spans="1:19" s="45" customFormat="1" ht="15">
      <c r="A19" s="43">
        <v>246</v>
      </c>
      <c r="B19" s="44" t="s">
        <v>83</v>
      </c>
      <c r="C19" s="43">
        <v>100</v>
      </c>
      <c r="D19" s="4">
        <v>13.36</v>
      </c>
      <c r="E19" s="4">
        <v>14.08</v>
      </c>
      <c r="F19" s="4">
        <v>0.85</v>
      </c>
      <c r="G19" s="4">
        <v>164</v>
      </c>
      <c r="H19" s="4">
        <v>0.01</v>
      </c>
      <c r="I19" s="4">
        <v>1.2</v>
      </c>
      <c r="J19" s="4"/>
      <c r="K19" s="4"/>
      <c r="L19" s="4">
        <v>23.6</v>
      </c>
      <c r="M19" s="4">
        <v>117.03</v>
      </c>
      <c r="N19" s="4">
        <v>20.27</v>
      </c>
      <c r="O19" s="4">
        <v>2</v>
      </c>
    </row>
    <row r="20" spans="1:19" s="8" customFormat="1">
      <c r="A20" s="43">
        <v>348</v>
      </c>
      <c r="B20" s="44" t="s">
        <v>41</v>
      </c>
      <c r="C20" s="43">
        <v>200</v>
      </c>
      <c r="D20" s="4">
        <f>3.9/5</f>
        <v>0.78</v>
      </c>
      <c r="E20" s="4">
        <f>0.23/5</f>
        <v>4.5999999999999999E-2</v>
      </c>
      <c r="F20" s="4">
        <f>138.15/5</f>
        <v>27.630000000000003</v>
      </c>
      <c r="G20" s="4">
        <f>574/5</f>
        <v>114.8</v>
      </c>
      <c r="H20" s="4">
        <f>0.08/5</f>
        <v>1.6E-2</v>
      </c>
      <c r="I20" s="4">
        <f>3/5</f>
        <v>0.6</v>
      </c>
      <c r="J20" s="4"/>
      <c r="K20" s="4">
        <f>4.12/5</f>
        <v>0.82400000000000007</v>
      </c>
      <c r="L20" s="4">
        <f>161.6/5</f>
        <v>32.32</v>
      </c>
      <c r="M20" s="4">
        <f>109.5/5</f>
        <v>21.9</v>
      </c>
      <c r="N20" s="4">
        <f>87.8/5</f>
        <v>17.559999999999999</v>
      </c>
      <c r="O20" s="4">
        <f>2.4/5</f>
        <v>0.48</v>
      </c>
    </row>
    <row r="21" spans="1:19" s="8" customFormat="1">
      <c r="A21" s="14"/>
      <c r="B21" s="44" t="s">
        <v>14</v>
      </c>
      <c r="C21" s="43">
        <v>40</v>
      </c>
      <c r="D21" s="4">
        <v>2.2400000000000002</v>
      </c>
      <c r="E21" s="4">
        <v>0.88</v>
      </c>
      <c r="F21" s="4">
        <v>19.760000000000002</v>
      </c>
      <c r="G21" s="4">
        <v>91.96</v>
      </c>
      <c r="H21" s="4">
        <v>0.04</v>
      </c>
      <c r="I21" s="4"/>
      <c r="J21" s="4"/>
      <c r="K21" s="4">
        <v>0.36</v>
      </c>
      <c r="L21" s="4">
        <v>9.1999999999999993</v>
      </c>
      <c r="M21" s="4">
        <v>42.4</v>
      </c>
      <c r="N21" s="4">
        <v>10</v>
      </c>
      <c r="O21" s="4">
        <v>1.24</v>
      </c>
    </row>
    <row r="22" spans="1:19" s="45" customFormat="1" ht="15">
      <c r="A22" s="14"/>
      <c r="B22" s="44" t="s">
        <v>49</v>
      </c>
      <c r="C22" s="43">
        <v>40</v>
      </c>
      <c r="D22" s="4">
        <v>3.16</v>
      </c>
      <c r="E22" s="4">
        <v>0.4</v>
      </c>
      <c r="F22" s="4">
        <v>19.32</v>
      </c>
      <c r="G22" s="4">
        <v>93.52</v>
      </c>
      <c r="H22" s="4">
        <v>0.04</v>
      </c>
      <c r="I22" s="4"/>
      <c r="J22" s="4"/>
      <c r="K22" s="4">
        <v>0.52</v>
      </c>
      <c r="L22" s="4">
        <v>9.1999999999999993</v>
      </c>
      <c r="M22" s="4">
        <v>34.799999999999997</v>
      </c>
      <c r="N22" s="4">
        <v>13.2</v>
      </c>
      <c r="O22" s="4">
        <v>0.44</v>
      </c>
    </row>
    <row r="23" spans="1:19" s="8" customFormat="1">
      <c r="A23" s="27" t="s">
        <v>11</v>
      </c>
      <c r="B23" s="27"/>
      <c r="C23" s="27"/>
      <c r="D23" s="28">
        <f t="shared" ref="D23:F23" si="0">SUM(D16:D22)</f>
        <v>28.684500000000003</v>
      </c>
      <c r="E23" s="28">
        <f t="shared" si="0"/>
        <v>26.140999999999995</v>
      </c>
      <c r="F23" s="28">
        <f t="shared" si="0"/>
        <v>107.48500000000001</v>
      </c>
      <c r="G23" s="28">
        <f>SUM(G16:G22)</f>
        <v>792.73</v>
      </c>
      <c r="H23" s="28"/>
      <c r="I23" s="28"/>
      <c r="J23" s="28"/>
      <c r="K23" s="28"/>
      <c r="L23" s="28"/>
      <c r="M23" s="28"/>
      <c r="N23" s="28"/>
      <c r="O23" s="28"/>
    </row>
    <row r="24" spans="1:19" s="1" customFormat="1" ht="31.5">
      <c r="A24" s="48" t="s">
        <v>32</v>
      </c>
      <c r="B24" s="40" t="s">
        <v>33</v>
      </c>
      <c r="C24" s="49"/>
    </row>
    <row r="25" spans="1:19" s="1" customFormat="1" ht="15.75">
      <c r="A25" s="126" t="s">
        <v>21</v>
      </c>
      <c r="B25" s="126" t="s">
        <v>18</v>
      </c>
      <c r="C25" s="129" t="s">
        <v>20</v>
      </c>
      <c r="D25" s="117" t="s">
        <v>24</v>
      </c>
      <c r="E25" s="118"/>
      <c r="F25" s="119"/>
      <c r="G25" s="126" t="s">
        <v>0</v>
      </c>
      <c r="H25" s="117" t="s">
        <v>23</v>
      </c>
      <c r="I25" s="118"/>
      <c r="J25" s="118"/>
      <c r="K25" s="119"/>
      <c r="L25" s="117" t="s">
        <v>22</v>
      </c>
      <c r="M25" s="118"/>
      <c r="N25" s="118"/>
      <c r="O25" s="119"/>
    </row>
    <row r="26" spans="1:19" s="1" customFormat="1" ht="15.75">
      <c r="A26" s="127"/>
      <c r="B26" s="128"/>
      <c r="C26" s="130"/>
      <c r="D26" s="50" t="s">
        <v>1</v>
      </c>
      <c r="E26" s="50" t="s">
        <v>2</v>
      </c>
      <c r="F26" s="50" t="s">
        <v>3</v>
      </c>
      <c r="G26" s="127"/>
      <c r="H26" s="50" t="s">
        <v>63</v>
      </c>
      <c r="I26" s="50" t="s">
        <v>4</v>
      </c>
      <c r="J26" s="50" t="s">
        <v>5</v>
      </c>
      <c r="K26" s="50" t="s">
        <v>6</v>
      </c>
      <c r="L26" s="50" t="s">
        <v>7</v>
      </c>
      <c r="M26" s="50" t="s">
        <v>8</v>
      </c>
      <c r="N26" s="50" t="s">
        <v>9</v>
      </c>
      <c r="O26" s="50" t="s">
        <v>10</v>
      </c>
    </row>
    <row r="27" spans="1:19" s="1" customFormat="1" ht="18.75">
      <c r="A27" s="120" t="s">
        <v>25</v>
      </c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</row>
    <row r="28" spans="1:19" s="9" customFormat="1" ht="25.5">
      <c r="A28" s="99">
        <v>218</v>
      </c>
      <c r="B28" s="44" t="s">
        <v>44</v>
      </c>
      <c r="C28" s="51">
        <v>130</v>
      </c>
      <c r="D28" s="4">
        <v>16.329999999999998</v>
      </c>
      <c r="E28" s="4">
        <v>8</v>
      </c>
      <c r="F28" s="4">
        <v>16.309999999999999</v>
      </c>
      <c r="G28" s="4">
        <v>203</v>
      </c>
      <c r="H28" s="4">
        <v>0.05</v>
      </c>
      <c r="I28" s="4">
        <v>0.37</v>
      </c>
      <c r="J28" s="4">
        <v>56.1</v>
      </c>
      <c r="K28" s="4">
        <v>0.32</v>
      </c>
      <c r="L28" s="4">
        <v>132.81</v>
      </c>
      <c r="M28" s="4">
        <v>167.3</v>
      </c>
      <c r="N28" s="4">
        <v>21</v>
      </c>
      <c r="O28" s="4">
        <v>0.4</v>
      </c>
    </row>
    <row r="29" spans="1:19" s="9" customFormat="1">
      <c r="A29" s="122"/>
      <c r="B29" s="14" t="s">
        <v>65</v>
      </c>
      <c r="C29" s="51">
        <v>30</v>
      </c>
      <c r="D29" s="123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5"/>
    </row>
    <row r="30" spans="1:19" s="45" customFormat="1" ht="15">
      <c r="A30" s="99">
        <v>2</v>
      </c>
      <c r="B30" s="44" t="s">
        <v>66</v>
      </c>
      <c r="C30" s="20">
        <v>60</v>
      </c>
      <c r="D30" s="26">
        <v>3.7</v>
      </c>
      <c r="E30" s="26">
        <v>8.5</v>
      </c>
      <c r="F30" s="26">
        <v>26.25</v>
      </c>
      <c r="G30" s="26">
        <v>155</v>
      </c>
      <c r="H30" s="26">
        <v>3.4000000000000002E-2</v>
      </c>
      <c r="I30" s="26"/>
      <c r="J30" s="26">
        <v>0.13</v>
      </c>
      <c r="K30" s="26">
        <v>0.44</v>
      </c>
      <c r="L30" s="26">
        <v>8.4</v>
      </c>
      <c r="M30" s="26">
        <v>22.5</v>
      </c>
      <c r="N30" s="26">
        <v>4.2</v>
      </c>
      <c r="O30" s="26">
        <v>0.35</v>
      </c>
      <c r="P30" s="52"/>
      <c r="Q30" s="52"/>
      <c r="R30" s="52"/>
      <c r="S30" s="52"/>
    </row>
    <row r="31" spans="1:19" s="9" customFormat="1" ht="15">
      <c r="A31" s="100"/>
      <c r="B31" s="14" t="s">
        <v>67</v>
      </c>
      <c r="C31" s="20">
        <v>50</v>
      </c>
      <c r="D31" s="131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3"/>
      <c r="P31" s="19"/>
      <c r="Q31" s="19"/>
      <c r="R31" s="15"/>
      <c r="S31" s="15"/>
    </row>
    <row r="32" spans="1:19" ht="15">
      <c r="A32" s="122"/>
      <c r="B32" s="13" t="s">
        <v>50</v>
      </c>
      <c r="C32" s="20">
        <v>10</v>
      </c>
      <c r="D32" s="134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6"/>
      <c r="P32" s="19"/>
      <c r="Q32" s="19"/>
      <c r="R32" s="53"/>
      <c r="S32" s="53"/>
    </row>
    <row r="33" spans="1:19" s="45" customFormat="1" ht="15">
      <c r="A33" s="54">
        <v>377</v>
      </c>
      <c r="B33" s="44" t="s">
        <v>74</v>
      </c>
      <c r="C33" s="43">
        <v>200</v>
      </c>
      <c r="D33" s="4">
        <f>2/5</f>
        <v>0.4</v>
      </c>
      <c r="E33" s="4">
        <f>0.51/5</f>
        <v>0.10200000000000001</v>
      </c>
      <c r="F33" s="4">
        <f>0.4/5</f>
        <v>0.08</v>
      </c>
      <c r="G33" s="4">
        <f>32/5</f>
        <v>6.4</v>
      </c>
      <c r="H33" s="4">
        <f>0.01/5</f>
        <v>2E-3</v>
      </c>
      <c r="I33" s="4">
        <f>1/5</f>
        <v>0.2</v>
      </c>
      <c r="J33" s="4">
        <f>0</f>
        <v>0</v>
      </c>
      <c r="K33" s="4">
        <f>0</f>
        <v>0</v>
      </c>
      <c r="L33" s="4">
        <f>98.1/5</f>
        <v>19.619999999999997</v>
      </c>
      <c r="M33" s="4">
        <f>82.4/5</f>
        <v>16.48</v>
      </c>
      <c r="N33" s="4">
        <f>44/5</f>
        <v>8.8000000000000007</v>
      </c>
      <c r="O33" s="4">
        <f>8.2/5</f>
        <v>1.64</v>
      </c>
    </row>
    <row r="34" spans="1:19" s="1" customFormat="1" ht="15">
      <c r="A34" s="55" t="s">
        <v>11</v>
      </c>
      <c r="B34" s="56"/>
      <c r="C34" s="57"/>
      <c r="D34" s="58">
        <f>SUM(D28:D33)</f>
        <v>20.429999999999996</v>
      </c>
      <c r="E34" s="58">
        <f t="shared" ref="E34:G34" si="1">SUM(E28:E33)</f>
        <v>16.602</v>
      </c>
      <c r="F34" s="58">
        <f t="shared" si="1"/>
        <v>42.64</v>
      </c>
      <c r="G34" s="58">
        <f t="shared" si="1"/>
        <v>364.4</v>
      </c>
      <c r="H34" s="58"/>
      <c r="I34" s="58"/>
      <c r="J34" s="58"/>
      <c r="K34" s="58"/>
      <c r="L34" s="58"/>
      <c r="M34" s="58"/>
      <c r="N34" s="58"/>
      <c r="O34" s="58"/>
      <c r="P34" s="59"/>
      <c r="Q34" s="59"/>
      <c r="R34" s="59"/>
      <c r="S34" s="59"/>
    </row>
    <row r="35" spans="1:19" s="1" customFormat="1" ht="18.75">
      <c r="A35" s="137" t="s">
        <v>19</v>
      </c>
      <c r="B35" s="137"/>
      <c r="C35" s="137"/>
      <c r="D35" s="137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7"/>
      <c r="P35" s="59"/>
      <c r="Q35" s="59"/>
      <c r="R35" s="59"/>
      <c r="S35" s="59"/>
    </row>
    <row r="36" spans="1:19" s="45" customFormat="1" ht="25.5">
      <c r="A36" s="43">
        <v>67</v>
      </c>
      <c r="B36" s="44" t="s">
        <v>53</v>
      </c>
      <c r="C36" s="51">
        <v>100</v>
      </c>
      <c r="D36" s="4">
        <v>1.4</v>
      </c>
      <c r="E36" s="4">
        <v>10.039999999999999</v>
      </c>
      <c r="F36" s="4">
        <v>7.29</v>
      </c>
      <c r="G36" s="4">
        <f>125.1</f>
        <v>125.1</v>
      </c>
      <c r="H36" s="4">
        <f>0.44/10</f>
        <v>4.3999999999999997E-2</v>
      </c>
      <c r="I36" s="4">
        <v>9.6300000000000008</v>
      </c>
      <c r="J36" s="4"/>
      <c r="K36" s="4">
        <v>4.5</v>
      </c>
      <c r="L36" s="4">
        <v>31.23</v>
      </c>
      <c r="M36" s="4">
        <v>43.27</v>
      </c>
      <c r="N36" s="4">
        <v>19.53</v>
      </c>
      <c r="O36" s="60">
        <v>0.83</v>
      </c>
      <c r="P36" s="52"/>
      <c r="Q36" s="52"/>
      <c r="R36" s="52"/>
      <c r="S36" s="52"/>
    </row>
    <row r="37" spans="1:19" s="1" customFormat="1" ht="25.5">
      <c r="A37" s="47">
        <v>82</v>
      </c>
      <c r="B37" s="11" t="s">
        <v>79</v>
      </c>
      <c r="C37" s="61">
        <v>250</v>
      </c>
      <c r="D37" s="2">
        <f>(7.21/4)+0.8</f>
        <v>2.6025</v>
      </c>
      <c r="E37" s="2">
        <f>(19.68/4)+0.2</f>
        <v>5.12</v>
      </c>
      <c r="F37" s="2">
        <f>43.73/4</f>
        <v>10.932499999999999</v>
      </c>
      <c r="G37" s="2">
        <f>(415/4)+5+30</f>
        <v>138.75</v>
      </c>
      <c r="H37" s="2">
        <f>0.2/4</f>
        <v>0.05</v>
      </c>
      <c r="I37" s="2">
        <f>42.7/4</f>
        <v>10.675000000000001</v>
      </c>
      <c r="J37" s="2"/>
      <c r="K37" s="2">
        <f>9.6/4</f>
        <v>2.4</v>
      </c>
      <c r="L37" s="2">
        <f>(198.9/4)+2</f>
        <v>51.725000000000001</v>
      </c>
      <c r="M37" s="2">
        <f>218.4/4</f>
        <v>54.6</v>
      </c>
      <c r="N37" s="2">
        <f>104.5/4</f>
        <v>26.125</v>
      </c>
      <c r="O37" s="2">
        <f>4.9/4</f>
        <v>1.2250000000000001</v>
      </c>
    </row>
    <row r="38" spans="1:19" s="45" customFormat="1" ht="25.5">
      <c r="A38" s="43">
        <v>229</v>
      </c>
      <c r="B38" s="44" t="s">
        <v>45</v>
      </c>
      <c r="C38" s="51">
        <v>100</v>
      </c>
      <c r="D38" s="4">
        <v>9.75</v>
      </c>
      <c r="E38" s="4">
        <v>4.95</v>
      </c>
      <c r="F38" s="4">
        <v>3.8</v>
      </c>
      <c r="G38" s="4">
        <v>105</v>
      </c>
      <c r="H38" s="4">
        <v>0.05</v>
      </c>
      <c r="I38" s="4">
        <v>3.73</v>
      </c>
      <c r="J38" s="4">
        <v>5.82</v>
      </c>
      <c r="K38" s="4">
        <v>2.52</v>
      </c>
      <c r="L38" s="4">
        <v>39.07</v>
      </c>
      <c r="M38" s="4">
        <v>162.19</v>
      </c>
      <c r="N38" s="4">
        <v>48.53</v>
      </c>
      <c r="O38" s="4">
        <v>0.85</v>
      </c>
    </row>
    <row r="39" spans="1:19" s="1" customFormat="1" ht="15">
      <c r="A39" s="62">
        <v>312</v>
      </c>
      <c r="B39" s="44" t="s">
        <v>13</v>
      </c>
      <c r="C39" s="63">
        <v>150</v>
      </c>
      <c r="D39" s="2">
        <f>20.473/100*15</f>
        <v>3.0709499999999998</v>
      </c>
      <c r="E39" s="2">
        <f>32.01/100/15</f>
        <v>2.1340000000000001E-2</v>
      </c>
      <c r="F39" s="2">
        <f>136.26/100*15</f>
        <v>20.438999999999997</v>
      </c>
      <c r="G39" s="2">
        <f>915/100*15</f>
        <v>137.25</v>
      </c>
      <c r="H39" s="2">
        <f>0.93/100*15</f>
        <v>0.13950000000000001</v>
      </c>
      <c r="I39" s="2">
        <f>121.07/100*15</f>
        <v>18.160499999999999</v>
      </c>
      <c r="J39" s="2"/>
      <c r="K39" s="2">
        <f>1.21/100*15</f>
        <v>0.18149999999999999</v>
      </c>
      <c r="L39" s="2">
        <f>246.5/100*15</f>
        <v>36.974999999999994</v>
      </c>
      <c r="M39" s="2">
        <f>577.3/100*15</f>
        <v>86.594999999999999</v>
      </c>
      <c r="N39" s="2">
        <f>185/100*15</f>
        <v>27.75</v>
      </c>
      <c r="O39" s="2">
        <f>6.73/100*15</f>
        <v>1.0095000000000001</v>
      </c>
    </row>
    <row r="40" spans="1:19" s="45" customFormat="1" ht="15">
      <c r="A40" s="43">
        <v>389</v>
      </c>
      <c r="B40" s="44" t="s">
        <v>72</v>
      </c>
      <c r="C40" s="23">
        <v>200</v>
      </c>
      <c r="D40" s="24">
        <f>1</f>
        <v>1</v>
      </c>
      <c r="E40" s="23">
        <v>0</v>
      </c>
      <c r="F40" s="24">
        <f>101/5</f>
        <v>20.2</v>
      </c>
      <c r="G40" s="23">
        <f>424/5</f>
        <v>84.8</v>
      </c>
      <c r="H40" s="24">
        <f>0.11/5</f>
        <v>2.1999999999999999E-2</v>
      </c>
      <c r="I40" s="23">
        <f>30/5</f>
        <v>6</v>
      </c>
      <c r="J40" s="24">
        <v>0</v>
      </c>
      <c r="K40" s="23">
        <f>1/5</f>
        <v>0.2</v>
      </c>
      <c r="L40" s="24">
        <f>70/5</f>
        <v>14</v>
      </c>
      <c r="M40" s="23">
        <f>70/5</f>
        <v>14</v>
      </c>
      <c r="N40" s="24">
        <f>40/5</f>
        <v>8</v>
      </c>
      <c r="O40" s="25">
        <f>14/5</f>
        <v>2.8</v>
      </c>
    </row>
    <row r="41" spans="1:19" s="8" customFormat="1">
      <c r="A41" s="14"/>
      <c r="B41" s="44" t="s">
        <v>14</v>
      </c>
      <c r="C41" s="43">
        <v>40</v>
      </c>
      <c r="D41" s="4">
        <v>2.2400000000000002</v>
      </c>
      <c r="E41" s="4">
        <v>0.88</v>
      </c>
      <c r="F41" s="4">
        <v>19.760000000000002</v>
      </c>
      <c r="G41" s="4">
        <v>91.96</v>
      </c>
      <c r="H41" s="4">
        <v>0.04</v>
      </c>
      <c r="I41" s="4"/>
      <c r="J41" s="4"/>
      <c r="K41" s="4">
        <v>0.36</v>
      </c>
      <c r="L41" s="4">
        <v>9.1999999999999993</v>
      </c>
      <c r="M41" s="4">
        <v>42.4</v>
      </c>
      <c r="N41" s="4">
        <v>10</v>
      </c>
      <c r="O41" s="4">
        <v>1.24</v>
      </c>
    </row>
    <row r="42" spans="1:19" s="45" customFormat="1" ht="15">
      <c r="A42" s="14"/>
      <c r="B42" s="44" t="s">
        <v>49</v>
      </c>
      <c r="C42" s="43">
        <v>40</v>
      </c>
      <c r="D42" s="4">
        <v>3.16</v>
      </c>
      <c r="E42" s="4">
        <v>0.4</v>
      </c>
      <c r="F42" s="4">
        <v>19.32</v>
      </c>
      <c r="G42" s="4">
        <v>93.52</v>
      </c>
      <c r="H42" s="4">
        <v>0.04</v>
      </c>
      <c r="I42" s="4"/>
      <c r="J42" s="4"/>
      <c r="K42" s="4">
        <v>0.52</v>
      </c>
      <c r="L42" s="4">
        <v>9.1999999999999993</v>
      </c>
      <c r="M42" s="4">
        <v>34.799999999999997</v>
      </c>
      <c r="N42" s="4">
        <v>13.2</v>
      </c>
      <c r="O42" s="4">
        <v>0.44</v>
      </c>
    </row>
    <row r="43" spans="1:19" s="45" customFormat="1" ht="15">
      <c r="A43" s="64" t="s">
        <v>11</v>
      </c>
      <c r="B43" s="65"/>
      <c r="C43" s="66"/>
      <c r="D43" s="67">
        <f>SUM(D36:D42)</f>
        <v>23.223450000000003</v>
      </c>
      <c r="E43" s="67">
        <f t="shared" ref="E43:F43" si="2">SUM(E36:E42)</f>
        <v>21.411339999999996</v>
      </c>
      <c r="F43" s="67">
        <f t="shared" si="2"/>
        <v>101.7415</v>
      </c>
      <c r="G43" s="67">
        <f>SUM(G36:G42)</f>
        <v>776.38</v>
      </c>
      <c r="H43" s="68"/>
      <c r="I43" s="68"/>
      <c r="J43" s="68"/>
      <c r="K43" s="68"/>
      <c r="L43" s="68"/>
      <c r="M43" s="68"/>
      <c r="N43" s="68"/>
      <c r="O43" s="68"/>
    </row>
    <row r="44" spans="1:19" s="45" customFormat="1" ht="15.75">
      <c r="A44" s="69" t="s">
        <v>27</v>
      </c>
      <c r="B44" s="70" t="s">
        <v>36</v>
      </c>
    </row>
    <row r="45" spans="1:19" s="45" customFormat="1" ht="15.75">
      <c r="A45" s="69" t="s">
        <v>29</v>
      </c>
      <c r="B45" s="70" t="s">
        <v>30</v>
      </c>
    </row>
    <row r="46" spans="1:19" s="45" customFormat="1" ht="15.75">
      <c r="A46" s="69" t="s">
        <v>31</v>
      </c>
      <c r="B46" s="6" t="s">
        <v>78</v>
      </c>
    </row>
    <row r="47" spans="1:19" s="45" customFormat="1" ht="31.5">
      <c r="A47" s="69" t="s">
        <v>32</v>
      </c>
      <c r="B47" s="70" t="s">
        <v>33</v>
      </c>
    </row>
    <row r="48" spans="1:19" s="45" customFormat="1" ht="15.75">
      <c r="A48" s="138" t="s">
        <v>21</v>
      </c>
      <c r="B48" s="138" t="s">
        <v>18</v>
      </c>
      <c r="C48" s="138" t="s">
        <v>20</v>
      </c>
      <c r="D48" s="142" t="s">
        <v>24</v>
      </c>
      <c r="E48" s="143"/>
      <c r="F48" s="144"/>
      <c r="G48" s="138" t="s">
        <v>0</v>
      </c>
      <c r="H48" s="142" t="s">
        <v>23</v>
      </c>
      <c r="I48" s="143"/>
      <c r="J48" s="143"/>
      <c r="K48" s="144"/>
      <c r="L48" s="142" t="s">
        <v>22</v>
      </c>
      <c r="M48" s="143"/>
      <c r="N48" s="143"/>
      <c r="O48" s="144"/>
    </row>
    <row r="49" spans="1:27" s="45" customFormat="1" ht="15.75">
      <c r="A49" s="139"/>
      <c r="B49" s="140"/>
      <c r="C49" s="141"/>
      <c r="D49" s="71" t="s">
        <v>1</v>
      </c>
      <c r="E49" s="71" t="s">
        <v>2</v>
      </c>
      <c r="F49" s="71" t="s">
        <v>3</v>
      </c>
      <c r="G49" s="139"/>
      <c r="H49" s="71" t="s">
        <v>63</v>
      </c>
      <c r="I49" s="71" t="s">
        <v>4</v>
      </c>
      <c r="J49" s="71" t="s">
        <v>5</v>
      </c>
      <c r="K49" s="71" t="s">
        <v>6</v>
      </c>
      <c r="L49" s="71" t="s">
        <v>7</v>
      </c>
      <c r="M49" s="71" t="s">
        <v>8</v>
      </c>
      <c r="N49" s="71" t="s">
        <v>9</v>
      </c>
      <c r="O49" s="71" t="s">
        <v>10</v>
      </c>
    </row>
    <row r="50" spans="1:27" s="45" customFormat="1" ht="18.75">
      <c r="A50" s="145" t="s">
        <v>25</v>
      </c>
      <c r="B50" s="145"/>
      <c r="C50" s="145"/>
      <c r="D50" s="145"/>
      <c r="E50" s="145"/>
      <c r="F50" s="145"/>
      <c r="G50" s="145"/>
      <c r="H50" s="145"/>
      <c r="I50" s="145"/>
      <c r="J50" s="145"/>
      <c r="K50" s="145"/>
      <c r="L50" s="145"/>
      <c r="M50" s="145"/>
      <c r="N50" s="145"/>
      <c r="O50" s="145"/>
    </row>
    <row r="51" spans="1:27" s="3" customFormat="1" ht="25.5">
      <c r="A51" s="72">
        <v>186</v>
      </c>
      <c r="B51" s="44" t="s">
        <v>58</v>
      </c>
      <c r="C51" s="62">
        <v>110</v>
      </c>
      <c r="D51" s="2">
        <f>5.67*2</f>
        <v>11.34</v>
      </c>
      <c r="E51" s="2">
        <f>9.89*2</f>
        <v>19.78</v>
      </c>
      <c r="F51" s="2">
        <f>1.47*2</f>
        <v>2.94</v>
      </c>
      <c r="G51" s="2">
        <f>118*2</f>
        <v>236</v>
      </c>
      <c r="H51" s="2">
        <f>0.03*2</f>
        <v>0.06</v>
      </c>
      <c r="I51" s="2">
        <f>0.17*2</f>
        <v>0.34</v>
      </c>
      <c r="J51" s="2">
        <f>127.4*2</f>
        <v>254.8</v>
      </c>
      <c r="K51" s="2">
        <f>0.29*2</f>
        <v>0.57999999999999996</v>
      </c>
      <c r="L51" s="2">
        <f>50.9*2</f>
        <v>101.8</v>
      </c>
      <c r="M51" s="2">
        <f>95.8*2</f>
        <v>191.6</v>
      </c>
      <c r="N51" s="2">
        <f>7.48*2</f>
        <v>14.96</v>
      </c>
      <c r="O51" s="2">
        <f>1.03*2</f>
        <v>2.06</v>
      </c>
    </row>
    <row r="52" spans="1:27" s="45" customFormat="1" ht="15">
      <c r="A52" s="99">
        <v>2</v>
      </c>
      <c r="B52" s="44" t="s">
        <v>66</v>
      </c>
      <c r="C52" s="35">
        <v>60</v>
      </c>
      <c r="D52" s="34">
        <v>3.7</v>
      </c>
      <c r="E52" s="34">
        <v>8.5</v>
      </c>
      <c r="F52" s="34">
        <v>26.25</v>
      </c>
      <c r="G52" s="34">
        <v>155</v>
      </c>
      <c r="H52" s="34">
        <v>3.4000000000000002E-2</v>
      </c>
      <c r="I52" s="34"/>
      <c r="J52" s="34">
        <v>0.13</v>
      </c>
      <c r="K52" s="34">
        <v>0.44</v>
      </c>
      <c r="L52" s="34">
        <v>8.4</v>
      </c>
      <c r="M52" s="34">
        <v>22.5</v>
      </c>
      <c r="N52" s="34">
        <v>4.2</v>
      </c>
      <c r="O52" s="34">
        <v>0.35</v>
      </c>
      <c r="P52" s="52"/>
      <c r="Q52" s="52"/>
      <c r="R52" s="52"/>
      <c r="S52" s="52"/>
    </row>
    <row r="53" spans="1:27" s="9" customFormat="1" ht="15">
      <c r="A53" s="100"/>
      <c r="B53" s="14" t="s">
        <v>67</v>
      </c>
      <c r="C53" s="35">
        <v>50</v>
      </c>
      <c r="D53" s="146"/>
      <c r="E53" s="147"/>
      <c r="F53" s="147"/>
      <c r="G53" s="147"/>
      <c r="H53" s="147"/>
      <c r="I53" s="147"/>
      <c r="J53" s="147"/>
      <c r="K53" s="147"/>
      <c r="L53" s="147"/>
      <c r="M53" s="147"/>
      <c r="N53" s="147"/>
      <c r="O53" s="148"/>
      <c r="P53" s="36"/>
      <c r="Q53" s="36"/>
      <c r="R53" s="15"/>
      <c r="S53" s="15"/>
    </row>
    <row r="54" spans="1:27" s="8" customFormat="1" ht="15">
      <c r="A54" s="122"/>
      <c r="B54" s="37" t="s">
        <v>50</v>
      </c>
      <c r="C54" s="35">
        <v>10</v>
      </c>
      <c r="D54" s="149"/>
      <c r="E54" s="150"/>
      <c r="F54" s="150"/>
      <c r="G54" s="150"/>
      <c r="H54" s="150"/>
      <c r="I54" s="150"/>
      <c r="J54" s="150"/>
      <c r="K54" s="150"/>
      <c r="L54" s="150"/>
      <c r="M54" s="150"/>
      <c r="N54" s="150"/>
      <c r="O54" s="151"/>
      <c r="P54" s="36"/>
      <c r="Q54" s="36"/>
      <c r="R54" s="73"/>
      <c r="S54" s="73"/>
    </row>
    <row r="55" spans="1:27" s="45" customFormat="1" ht="15">
      <c r="A55" s="43">
        <v>379</v>
      </c>
      <c r="B55" s="44" t="s">
        <v>54</v>
      </c>
      <c r="C55" s="43">
        <v>200</v>
      </c>
      <c r="D55" s="4">
        <f>15.83/5</f>
        <v>3.1659999999999999</v>
      </c>
      <c r="E55" s="4">
        <f>13.39/5</f>
        <v>2.6779999999999999</v>
      </c>
      <c r="F55" s="4">
        <f>79.73/5</f>
        <v>15.946000000000002</v>
      </c>
      <c r="G55" s="4">
        <f>503/5</f>
        <v>100.6</v>
      </c>
      <c r="H55" s="4">
        <f>0.22/5</f>
        <v>4.3999999999999997E-2</v>
      </c>
      <c r="I55" s="4">
        <f>6.5/5</f>
        <v>1.3</v>
      </c>
      <c r="J55" s="4">
        <f>100/5</f>
        <v>20</v>
      </c>
      <c r="K55" s="4"/>
      <c r="L55" s="4">
        <f>628.9/5</f>
        <v>125.78</v>
      </c>
      <c r="M55" s="4">
        <f>450/5</f>
        <v>90</v>
      </c>
      <c r="N55" s="4">
        <f>70/5</f>
        <v>14</v>
      </c>
      <c r="O55" s="4">
        <f>0.67/5</f>
        <v>0.13400000000000001</v>
      </c>
    </row>
    <row r="56" spans="1:27" s="76" customFormat="1" ht="15">
      <c r="A56" s="27" t="s">
        <v>11</v>
      </c>
      <c r="B56" s="27"/>
      <c r="C56" s="27"/>
      <c r="D56" s="74">
        <f>SUM(D51:D55)</f>
        <v>18.206</v>
      </c>
      <c r="E56" s="74">
        <f t="shared" ref="E56:G56" si="3">SUM(E51:E55)</f>
        <v>30.958000000000002</v>
      </c>
      <c r="F56" s="74">
        <f t="shared" si="3"/>
        <v>45.136000000000003</v>
      </c>
      <c r="G56" s="74">
        <f t="shared" si="3"/>
        <v>491.6</v>
      </c>
      <c r="H56" s="75"/>
      <c r="I56" s="29"/>
      <c r="J56" s="29"/>
      <c r="K56" s="29"/>
      <c r="L56" s="29"/>
      <c r="M56" s="29"/>
      <c r="N56" s="29"/>
      <c r="O56" s="29"/>
    </row>
    <row r="57" spans="1:27" s="45" customFormat="1" ht="18.75">
      <c r="A57" s="152" t="s">
        <v>19</v>
      </c>
      <c r="B57" s="153"/>
      <c r="C57" s="153"/>
      <c r="D57" s="153"/>
      <c r="E57" s="153"/>
      <c r="F57" s="153"/>
      <c r="G57" s="153"/>
      <c r="H57" s="153"/>
      <c r="I57" s="153"/>
      <c r="J57" s="153"/>
      <c r="K57" s="153"/>
      <c r="L57" s="153"/>
      <c r="M57" s="153"/>
      <c r="N57" s="153"/>
      <c r="O57" s="154"/>
    </row>
    <row r="58" spans="1:27" s="45" customFormat="1" ht="25.5">
      <c r="A58" s="43">
        <v>45</v>
      </c>
      <c r="B58" s="44" t="s">
        <v>43</v>
      </c>
      <c r="C58" s="43">
        <v>100</v>
      </c>
      <c r="D58" s="4">
        <f>13.12/10</f>
        <v>1.3119999999999998</v>
      </c>
      <c r="E58" s="4">
        <f>32.49/10</f>
        <v>3.2490000000000001</v>
      </c>
      <c r="F58" s="4">
        <f>6.5</f>
        <v>6.5</v>
      </c>
      <c r="G58" s="4">
        <v>60.4</v>
      </c>
      <c r="H58" s="4">
        <v>0.02</v>
      </c>
      <c r="I58" s="4">
        <v>17.010000000000002</v>
      </c>
      <c r="J58" s="4"/>
      <c r="K58" s="4">
        <v>8.39</v>
      </c>
      <c r="L58" s="4">
        <v>24.97</v>
      </c>
      <c r="M58" s="4">
        <v>28.3</v>
      </c>
      <c r="N58" s="4">
        <v>15.09</v>
      </c>
      <c r="O58" s="4">
        <v>0.47</v>
      </c>
    </row>
    <row r="59" spans="1:27" s="9" customFormat="1" ht="25.5" customHeight="1">
      <c r="A59" s="43">
        <v>112</v>
      </c>
      <c r="B59" s="44" t="s">
        <v>59</v>
      </c>
      <c r="C59" s="43">
        <v>250</v>
      </c>
      <c r="D59" s="4">
        <f>10.27/4+0.8</f>
        <v>3.3674999999999997</v>
      </c>
      <c r="E59" s="4">
        <f>11.12/4+0.2</f>
        <v>2.98</v>
      </c>
      <c r="F59" s="4">
        <f>62.75/4</f>
        <v>15.6875</v>
      </c>
      <c r="G59" s="4">
        <f>436/4+5+30</f>
        <v>144</v>
      </c>
      <c r="H59" s="4">
        <f>0.37/4</f>
        <v>9.2499999999999999E-2</v>
      </c>
      <c r="I59" s="4">
        <f>24.3/4</f>
        <v>6.0750000000000002</v>
      </c>
      <c r="J59" s="4"/>
      <c r="K59" s="4">
        <f>5.8/4</f>
        <v>1.45</v>
      </c>
      <c r="L59" s="4">
        <f>118/4+2</f>
        <v>31.5</v>
      </c>
      <c r="M59" s="4">
        <f>230.9/4</f>
        <v>57.725000000000001</v>
      </c>
      <c r="N59" s="4">
        <f>95.2/4</f>
        <v>23.8</v>
      </c>
      <c r="O59" s="4">
        <f>4/4</f>
        <v>1</v>
      </c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</row>
    <row r="60" spans="1:27" s="45" customFormat="1" ht="25.5">
      <c r="A60" s="43">
        <v>295</v>
      </c>
      <c r="B60" s="44" t="s">
        <v>56</v>
      </c>
      <c r="C60" s="43">
        <v>105</v>
      </c>
      <c r="D60" s="4">
        <f>7.65*2</f>
        <v>15.3</v>
      </c>
      <c r="E60" s="4">
        <f>14.7*2</f>
        <v>29.4</v>
      </c>
      <c r="F60" s="4">
        <f>7.73*2</f>
        <v>15.46</v>
      </c>
      <c r="G60" s="4">
        <f>194*2</f>
        <v>388</v>
      </c>
      <c r="H60" s="4">
        <f>0.05*2</f>
        <v>0.1</v>
      </c>
      <c r="I60" s="4">
        <f>0.52*2</f>
        <v>1.04</v>
      </c>
      <c r="J60" s="4">
        <f>45.7*2</f>
        <v>91.4</v>
      </c>
      <c r="K60" s="4">
        <f>1.45*2</f>
        <v>2.9</v>
      </c>
      <c r="L60" s="4">
        <f>27.77*2</f>
        <v>55.54</v>
      </c>
      <c r="M60" s="4">
        <f>48.77*2</f>
        <v>97.54</v>
      </c>
      <c r="N60" s="4">
        <f>10.4*2</f>
        <v>20.8</v>
      </c>
      <c r="O60" s="4">
        <f>0.71*2</f>
        <v>1.42</v>
      </c>
    </row>
    <row r="61" spans="1:27" s="45" customFormat="1" ht="15">
      <c r="A61" s="43">
        <v>139</v>
      </c>
      <c r="B61" s="44" t="s">
        <v>73</v>
      </c>
      <c r="C61" s="43">
        <v>150</v>
      </c>
      <c r="D61" s="4">
        <v>2.04</v>
      </c>
      <c r="E61" s="4">
        <v>3.68</v>
      </c>
      <c r="F61" s="4">
        <v>7.89</v>
      </c>
      <c r="G61" s="4">
        <v>77</v>
      </c>
      <c r="H61" s="4">
        <v>0.04</v>
      </c>
      <c r="I61" s="4">
        <v>17.079999999999998</v>
      </c>
      <c r="J61" s="4">
        <v>0</v>
      </c>
      <c r="K61" s="4">
        <v>1.95</v>
      </c>
      <c r="L61" s="4">
        <v>58.75</v>
      </c>
      <c r="M61" s="4">
        <v>40.69</v>
      </c>
      <c r="N61" s="4">
        <v>20.85</v>
      </c>
      <c r="O61" s="4">
        <v>0.83</v>
      </c>
    </row>
    <row r="62" spans="1:27" s="45" customFormat="1" ht="15">
      <c r="A62" s="43">
        <v>389</v>
      </c>
      <c r="B62" s="44" t="s">
        <v>76</v>
      </c>
      <c r="C62" s="23">
        <v>200</v>
      </c>
      <c r="D62" s="24">
        <f>1</f>
        <v>1</v>
      </c>
      <c r="E62" s="23">
        <v>0</v>
      </c>
      <c r="F62" s="24">
        <f>101/5</f>
        <v>20.2</v>
      </c>
      <c r="G62" s="23">
        <f>424/5</f>
        <v>84.8</v>
      </c>
      <c r="H62" s="24">
        <f>0.11/5</f>
        <v>2.1999999999999999E-2</v>
      </c>
      <c r="I62" s="23">
        <f>30/5</f>
        <v>6</v>
      </c>
      <c r="J62" s="24">
        <v>0</v>
      </c>
      <c r="K62" s="23">
        <f>1/5</f>
        <v>0.2</v>
      </c>
      <c r="L62" s="24">
        <f>70/5</f>
        <v>14</v>
      </c>
      <c r="M62" s="23">
        <f>70/5</f>
        <v>14</v>
      </c>
      <c r="N62" s="24">
        <f>40/5</f>
        <v>8</v>
      </c>
      <c r="O62" s="25">
        <f>14/5</f>
        <v>2.8</v>
      </c>
    </row>
    <row r="63" spans="1:27" s="45" customFormat="1" ht="15">
      <c r="A63" s="14"/>
      <c r="B63" s="44" t="s">
        <v>14</v>
      </c>
      <c r="C63" s="43">
        <v>40</v>
      </c>
      <c r="D63" s="4">
        <v>2.2400000000000002</v>
      </c>
      <c r="E63" s="4">
        <v>0.88</v>
      </c>
      <c r="F63" s="4">
        <v>19.760000000000002</v>
      </c>
      <c r="G63" s="4">
        <v>91.96</v>
      </c>
      <c r="H63" s="4">
        <v>0.04</v>
      </c>
      <c r="I63" s="4"/>
      <c r="J63" s="4"/>
      <c r="K63" s="4">
        <v>0.36</v>
      </c>
      <c r="L63" s="4">
        <v>9.1999999999999993</v>
      </c>
      <c r="M63" s="4">
        <v>42.4</v>
      </c>
      <c r="N63" s="4">
        <v>10</v>
      </c>
      <c r="O63" s="4">
        <v>1.24</v>
      </c>
    </row>
    <row r="64" spans="1:27" s="45" customFormat="1" ht="15">
      <c r="A64" s="14"/>
      <c r="B64" s="44" t="s">
        <v>49</v>
      </c>
      <c r="C64" s="43">
        <v>40</v>
      </c>
      <c r="D64" s="4">
        <v>3.16</v>
      </c>
      <c r="E64" s="4">
        <v>0.4</v>
      </c>
      <c r="F64" s="4">
        <v>19.32</v>
      </c>
      <c r="G64" s="4">
        <v>93.52</v>
      </c>
      <c r="H64" s="4">
        <v>0.04</v>
      </c>
      <c r="I64" s="4"/>
      <c r="J64" s="4"/>
      <c r="K64" s="4">
        <v>0.52</v>
      </c>
      <c r="L64" s="4">
        <v>9.1999999999999993</v>
      </c>
      <c r="M64" s="4">
        <v>34.799999999999997</v>
      </c>
      <c r="N64" s="4">
        <v>13.2</v>
      </c>
      <c r="O64" s="4">
        <v>0.44</v>
      </c>
    </row>
    <row r="65" spans="1:15" s="76" customFormat="1" ht="15">
      <c r="A65" s="27" t="s">
        <v>11</v>
      </c>
      <c r="B65" s="27"/>
      <c r="C65" s="27"/>
      <c r="D65" s="74">
        <f>SUM(D58:D64)</f>
        <v>28.419500000000003</v>
      </c>
      <c r="E65" s="74">
        <f t="shared" ref="E65:F65" si="4">SUM(E58:E64)</f>
        <v>40.588999999999999</v>
      </c>
      <c r="F65" s="74">
        <f t="shared" si="4"/>
        <v>104.8175</v>
      </c>
      <c r="G65" s="74">
        <f>SUM(G58:G64)</f>
        <v>939.68</v>
      </c>
      <c r="H65" s="29"/>
      <c r="I65" s="29"/>
      <c r="J65" s="29"/>
      <c r="K65" s="29"/>
      <c r="L65" s="29"/>
      <c r="M65" s="29"/>
      <c r="N65" s="29"/>
      <c r="O65" s="29"/>
    </row>
    <row r="66" spans="1:15" s="1" customFormat="1" ht="15.75">
      <c r="A66" s="48" t="s">
        <v>27</v>
      </c>
      <c r="B66" s="40" t="s">
        <v>37</v>
      </c>
    </row>
    <row r="67" spans="1:15" s="1" customFormat="1" ht="15.75">
      <c r="A67" s="48" t="s">
        <v>29</v>
      </c>
      <c r="B67" s="40" t="s">
        <v>30</v>
      </c>
    </row>
    <row r="68" spans="1:15" s="1" customFormat="1" ht="15.75">
      <c r="A68" s="48" t="s">
        <v>31</v>
      </c>
      <c r="B68" s="6" t="s">
        <v>78</v>
      </c>
    </row>
    <row r="69" spans="1:15" s="1" customFormat="1" ht="31.5">
      <c r="A69" s="48" t="s">
        <v>32</v>
      </c>
      <c r="B69" s="40" t="s">
        <v>33</v>
      </c>
    </row>
    <row r="70" spans="1:15" s="1" customFormat="1" ht="15.75">
      <c r="A70" s="126" t="s">
        <v>21</v>
      </c>
      <c r="B70" s="126" t="s">
        <v>18</v>
      </c>
      <c r="C70" s="126" t="s">
        <v>20</v>
      </c>
      <c r="D70" s="117" t="s">
        <v>24</v>
      </c>
      <c r="E70" s="118"/>
      <c r="F70" s="119"/>
      <c r="G70" s="126" t="s">
        <v>0</v>
      </c>
      <c r="H70" s="117" t="s">
        <v>23</v>
      </c>
      <c r="I70" s="118"/>
      <c r="J70" s="118"/>
      <c r="K70" s="119"/>
      <c r="L70" s="117" t="s">
        <v>22</v>
      </c>
      <c r="M70" s="118"/>
      <c r="N70" s="118"/>
      <c r="O70" s="119"/>
    </row>
    <row r="71" spans="1:15" s="1" customFormat="1" ht="15.75">
      <c r="A71" s="127"/>
      <c r="B71" s="128"/>
      <c r="C71" s="155"/>
      <c r="D71" s="50" t="s">
        <v>1</v>
      </c>
      <c r="E71" s="50" t="s">
        <v>2</v>
      </c>
      <c r="F71" s="50" t="s">
        <v>3</v>
      </c>
      <c r="G71" s="127"/>
      <c r="H71" s="50" t="s">
        <v>63</v>
      </c>
      <c r="I71" s="50" t="s">
        <v>4</v>
      </c>
      <c r="J71" s="50" t="s">
        <v>5</v>
      </c>
      <c r="K71" s="50" t="s">
        <v>6</v>
      </c>
      <c r="L71" s="50" t="s">
        <v>7</v>
      </c>
      <c r="M71" s="50" t="s">
        <v>8</v>
      </c>
      <c r="N71" s="50" t="s">
        <v>9</v>
      </c>
      <c r="O71" s="50" t="s">
        <v>10</v>
      </c>
    </row>
    <row r="72" spans="1:15" s="1" customFormat="1" ht="18.75">
      <c r="A72" s="121" t="s">
        <v>25</v>
      </c>
      <c r="B72" s="121"/>
      <c r="C72" s="121"/>
      <c r="D72" s="121"/>
      <c r="E72" s="121"/>
      <c r="F72" s="121"/>
      <c r="G72" s="121"/>
      <c r="H72" s="121"/>
      <c r="I72" s="121"/>
      <c r="J72" s="121"/>
      <c r="K72" s="121"/>
      <c r="L72" s="121"/>
      <c r="M72" s="121"/>
      <c r="N72" s="121"/>
      <c r="O72" s="121"/>
    </row>
    <row r="73" spans="1:15" s="45" customFormat="1" ht="24">
      <c r="A73" s="43">
        <v>182</v>
      </c>
      <c r="B73" s="77" t="s">
        <v>64</v>
      </c>
      <c r="C73" s="43" t="s">
        <v>62</v>
      </c>
      <c r="D73" s="4">
        <v>7.51</v>
      </c>
      <c r="E73" s="4">
        <v>11.72</v>
      </c>
      <c r="F73" s="4">
        <v>37.049999999999997</v>
      </c>
      <c r="G73" s="4">
        <v>285</v>
      </c>
      <c r="H73" s="4">
        <v>0.19</v>
      </c>
      <c r="I73" s="4">
        <v>1.17</v>
      </c>
      <c r="J73" s="4">
        <v>58</v>
      </c>
      <c r="K73" s="4">
        <v>0.21</v>
      </c>
      <c r="L73" s="4">
        <v>138.1</v>
      </c>
      <c r="M73" s="4">
        <v>184.37</v>
      </c>
      <c r="N73" s="4">
        <v>47.6</v>
      </c>
      <c r="O73" s="4">
        <v>1.23</v>
      </c>
    </row>
    <row r="74" spans="1:15" s="45" customFormat="1" ht="15">
      <c r="A74" s="99">
        <v>2</v>
      </c>
      <c r="B74" s="44" t="s">
        <v>85</v>
      </c>
      <c r="C74" s="43">
        <v>60</v>
      </c>
      <c r="D74" s="4">
        <v>3.7</v>
      </c>
      <c r="E74" s="4">
        <v>8.5</v>
      </c>
      <c r="F74" s="4">
        <v>26.25</v>
      </c>
      <c r="G74" s="4">
        <v>155</v>
      </c>
      <c r="H74" s="4">
        <v>3.4000000000000002E-2</v>
      </c>
      <c r="I74" s="4"/>
      <c r="J74" s="4">
        <v>0.13</v>
      </c>
      <c r="K74" s="4">
        <v>0.44</v>
      </c>
      <c r="L74" s="4">
        <v>8.4</v>
      </c>
      <c r="M74" s="4">
        <v>22.5</v>
      </c>
      <c r="N74" s="4">
        <v>4.2</v>
      </c>
      <c r="O74" s="4">
        <v>0.35</v>
      </c>
    </row>
    <row r="75" spans="1:15" s="45" customFormat="1" ht="15">
      <c r="A75" s="100"/>
      <c r="B75" s="17" t="s">
        <v>49</v>
      </c>
      <c r="C75" s="18">
        <v>50</v>
      </c>
      <c r="D75" s="101"/>
      <c r="E75" s="102"/>
      <c r="F75" s="102"/>
      <c r="G75" s="102"/>
      <c r="H75" s="102"/>
      <c r="I75" s="102"/>
      <c r="J75" s="102"/>
      <c r="K75" s="102"/>
      <c r="L75" s="102"/>
      <c r="M75" s="102"/>
      <c r="N75" s="102"/>
      <c r="O75" s="103"/>
    </row>
    <row r="76" spans="1:15" s="45" customFormat="1" ht="15">
      <c r="A76" s="100"/>
      <c r="B76" s="17" t="s">
        <v>50</v>
      </c>
      <c r="C76" s="18">
        <v>10</v>
      </c>
      <c r="D76" s="104"/>
      <c r="E76" s="105"/>
      <c r="F76" s="105"/>
      <c r="G76" s="105"/>
      <c r="H76" s="105"/>
      <c r="I76" s="105"/>
      <c r="J76" s="105"/>
      <c r="K76" s="105"/>
      <c r="L76" s="105"/>
      <c r="M76" s="105"/>
      <c r="N76" s="105"/>
      <c r="O76" s="106"/>
    </row>
    <row r="77" spans="1:15" s="45" customFormat="1" ht="15">
      <c r="A77" s="43">
        <v>382</v>
      </c>
      <c r="B77" s="44" t="s">
        <v>35</v>
      </c>
      <c r="C77" s="43">
        <v>200</v>
      </c>
      <c r="D77" s="4">
        <f>20.39/5</f>
        <v>4.0780000000000003</v>
      </c>
      <c r="E77" s="4">
        <f>17.72/5</f>
        <v>3.5439999999999996</v>
      </c>
      <c r="F77" s="4">
        <f>87.89/5</f>
        <v>17.577999999999999</v>
      </c>
      <c r="G77" s="4">
        <f>593/5</f>
        <v>118.6</v>
      </c>
      <c r="H77" s="4">
        <f>0.28/5</f>
        <v>5.6000000000000008E-2</v>
      </c>
      <c r="I77" s="4">
        <f>7.94/5</f>
        <v>1.5880000000000001</v>
      </c>
      <c r="J77" s="4">
        <f>122/5</f>
        <v>24.4</v>
      </c>
      <c r="K77" s="4"/>
      <c r="L77" s="4">
        <f>761.1/5</f>
        <v>152.22</v>
      </c>
      <c r="M77" s="4">
        <f>622.8/5</f>
        <v>124.55999999999999</v>
      </c>
      <c r="N77" s="4">
        <f>106.7/5</f>
        <v>21.34</v>
      </c>
      <c r="O77" s="4">
        <f>2.39/5</f>
        <v>0.47800000000000004</v>
      </c>
    </row>
    <row r="78" spans="1:15" s="45" customFormat="1" ht="15">
      <c r="A78" s="14"/>
      <c r="B78" s="44" t="s">
        <v>49</v>
      </c>
      <c r="C78" s="43">
        <v>40</v>
      </c>
      <c r="D78" s="4">
        <v>3.16</v>
      </c>
      <c r="E78" s="4">
        <v>0.4</v>
      </c>
      <c r="F78" s="4">
        <v>19.32</v>
      </c>
      <c r="G78" s="4">
        <v>93.52</v>
      </c>
      <c r="H78" s="4">
        <v>0.04</v>
      </c>
      <c r="I78" s="4"/>
      <c r="J78" s="4"/>
      <c r="K78" s="4">
        <v>0.52</v>
      </c>
      <c r="L78" s="4">
        <v>9.1999999999999993</v>
      </c>
      <c r="M78" s="4">
        <v>34.799999999999997</v>
      </c>
      <c r="N78" s="4">
        <v>13.2</v>
      </c>
      <c r="O78" s="4">
        <v>0.44</v>
      </c>
    </row>
    <row r="79" spans="1:15" s="45" customFormat="1" ht="15">
      <c r="A79" s="27" t="s">
        <v>11</v>
      </c>
      <c r="B79" s="27"/>
      <c r="C79" s="27"/>
      <c r="D79" s="28">
        <f>SUM(D73:D78)</f>
        <v>18.448</v>
      </c>
      <c r="E79" s="28">
        <f>SUM(E73:E78)</f>
        <v>24.163999999999998</v>
      </c>
      <c r="F79" s="28">
        <f>SUM(F73:F78)</f>
        <v>100.19800000000001</v>
      </c>
      <c r="G79" s="28">
        <f>SUM(G73:G78)</f>
        <v>652.12</v>
      </c>
      <c r="H79" s="28"/>
      <c r="I79" s="28"/>
      <c r="J79" s="28"/>
      <c r="K79" s="28"/>
      <c r="L79" s="28"/>
      <c r="M79" s="28"/>
      <c r="N79" s="28"/>
      <c r="O79" s="28"/>
    </row>
    <row r="80" spans="1:15" s="45" customFormat="1" ht="18.75">
      <c r="A80" s="153" t="s">
        <v>19</v>
      </c>
      <c r="B80" s="153"/>
      <c r="C80" s="153"/>
      <c r="D80" s="153"/>
      <c r="E80" s="153"/>
      <c r="F80" s="153"/>
      <c r="G80" s="153"/>
      <c r="H80" s="153"/>
      <c r="I80" s="153"/>
      <c r="J80" s="153"/>
      <c r="K80" s="153"/>
      <c r="L80" s="153"/>
      <c r="M80" s="153"/>
      <c r="N80" s="153"/>
      <c r="O80" s="154"/>
    </row>
    <row r="81" spans="1:15" s="45" customFormat="1" ht="25.5">
      <c r="A81" s="43">
        <v>54</v>
      </c>
      <c r="B81" s="44" t="s">
        <v>47</v>
      </c>
      <c r="C81" s="43">
        <v>100</v>
      </c>
      <c r="D81" s="4">
        <f>1.9</f>
        <v>1.9</v>
      </c>
      <c r="E81" s="4">
        <v>6.08</v>
      </c>
      <c r="F81" s="4">
        <v>11.2</v>
      </c>
      <c r="G81" s="4">
        <v>103.9</v>
      </c>
      <c r="H81" s="4">
        <v>0.02</v>
      </c>
      <c r="I81" s="4">
        <v>6.44</v>
      </c>
      <c r="J81" s="4"/>
      <c r="K81" s="4">
        <v>10.6</v>
      </c>
      <c r="L81" s="4">
        <v>29.27</v>
      </c>
      <c r="M81" s="4">
        <v>31.8</v>
      </c>
      <c r="N81" s="4">
        <v>16.829999999999998</v>
      </c>
      <c r="O81" s="4">
        <v>1.48</v>
      </c>
    </row>
    <row r="82" spans="1:15" s="45" customFormat="1" ht="38.25">
      <c r="A82" s="43">
        <v>88</v>
      </c>
      <c r="B82" s="44" t="s">
        <v>55</v>
      </c>
      <c r="C82" s="43">
        <v>250</v>
      </c>
      <c r="D82" s="4">
        <f>(7.06/4)+0.8</f>
        <v>2.5649999999999999</v>
      </c>
      <c r="E82" s="4">
        <f>(19.8/4)+0.2</f>
        <v>5.15</v>
      </c>
      <c r="F82" s="4">
        <f>31.61/4</f>
        <v>7.9024999999999999</v>
      </c>
      <c r="G82" s="4">
        <f>(359/4)+5+30</f>
        <v>124.75</v>
      </c>
      <c r="H82" s="4">
        <f>0.23/4</f>
        <v>5.7500000000000002E-2</v>
      </c>
      <c r="I82" s="4">
        <f>63.1/4</f>
        <v>15.775</v>
      </c>
      <c r="J82" s="4"/>
      <c r="K82" s="4">
        <f>9.4/4</f>
        <v>2.35</v>
      </c>
      <c r="L82" s="4">
        <f>(197/4)+2</f>
        <v>51.25</v>
      </c>
      <c r="M82" s="4">
        <f>196/4</f>
        <v>49</v>
      </c>
      <c r="N82" s="4">
        <f>88.5/4</f>
        <v>22.125</v>
      </c>
      <c r="O82" s="4">
        <f>3.3/4</f>
        <v>0.82499999999999996</v>
      </c>
    </row>
    <row r="83" spans="1:15" s="45" customFormat="1" ht="15">
      <c r="A83" s="43">
        <v>302</v>
      </c>
      <c r="B83" s="44" t="s">
        <v>17</v>
      </c>
      <c r="C83" s="43">
        <v>150</v>
      </c>
      <c r="D83" s="4">
        <f>57.32/100*15</f>
        <v>8.5980000000000008</v>
      </c>
      <c r="E83" s="4">
        <f>40.62/100*15</f>
        <v>6.0929999999999991</v>
      </c>
      <c r="F83" s="4">
        <f>257.61/100*15</f>
        <v>38.641500000000008</v>
      </c>
      <c r="G83" s="4">
        <f>1625/100*15</f>
        <v>243.75</v>
      </c>
      <c r="H83" s="4">
        <f>1.39/100*15</f>
        <v>0.20849999999999999</v>
      </c>
      <c r="I83" s="4"/>
      <c r="J83" s="4"/>
      <c r="K83" s="4">
        <f>4.05/100*15</f>
        <v>0.60750000000000004</v>
      </c>
      <c r="L83" s="4">
        <f>98.8/100*15</f>
        <v>14.82</v>
      </c>
      <c r="M83" s="4">
        <f>1359.5/100*15</f>
        <v>203.92500000000001</v>
      </c>
      <c r="N83" s="4">
        <f>905.5/100*15</f>
        <v>135.82499999999999</v>
      </c>
      <c r="O83" s="4">
        <f>30.4/100*15</f>
        <v>4.5599999999999996</v>
      </c>
    </row>
    <row r="84" spans="1:15" s="45" customFormat="1" ht="15">
      <c r="A84" s="43">
        <v>278</v>
      </c>
      <c r="B84" s="44" t="s">
        <v>16</v>
      </c>
      <c r="C84" s="43">
        <v>110</v>
      </c>
      <c r="D84" s="4">
        <v>7.83</v>
      </c>
      <c r="E84" s="4">
        <v>8.75</v>
      </c>
      <c r="F84" s="4">
        <v>10.25</v>
      </c>
      <c r="G84" s="4">
        <v>151</v>
      </c>
      <c r="H84" s="4">
        <v>0.05</v>
      </c>
      <c r="I84" s="4">
        <v>0.72</v>
      </c>
      <c r="J84" s="4">
        <v>33.92</v>
      </c>
      <c r="K84" s="4">
        <v>0.55000000000000004</v>
      </c>
      <c r="L84" s="4">
        <v>27.95</v>
      </c>
      <c r="M84" s="4">
        <v>88.37</v>
      </c>
      <c r="N84" s="4">
        <v>18.329999999999998</v>
      </c>
      <c r="O84" s="4">
        <v>0.87</v>
      </c>
    </row>
    <row r="85" spans="1:15" s="45" customFormat="1" ht="15">
      <c r="A85" s="43">
        <v>389</v>
      </c>
      <c r="B85" s="44" t="s">
        <v>77</v>
      </c>
      <c r="C85" s="23">
        <v>200</v>
      </c>
      <c r="D85" s="24">
        <f>1</f>
        <v>1</v>
      </c>
      <c r="E85" s="23">
        <v>0</v>
      </c>
      <c r="F85" s="24">
        <f>101/5</f>
        <v>20.2</v>
      </c>
      <c r="G85" s="23">
        <f>424/5</f>
        <v>84.8</v>
      </c>
      <c r="H85" s="24">
        <f>0.11/5</f>
        <v>2.1999999999999999E-2</v>
      </c>
      <c r="I85" s="23">
        <f>30/5</f>
        <v>6</v>
      </c>
      <c r="J85" s="24">
        <v>0</v>
      </c>
      <c r="K85" s="23">
        <f>1/5</f>
        <v>0.2</v>
      </c>
      <c r="L85" s="24">
        <f>70/5</f>
        <v>14</v>
      </c>
      <c r="M85" s="23">
        <f>70/5</f>
        <v>14</v>
      </c>
      <c r="N85" s="24">
        <f>40/5</f>
        <v>8</v>
      </c>
      <c r="O85" s="25">
        <f>14/5</f>
        <v>2.8</v>
      </c>
    </row>
    <row r="86" spans="1:15" s="45" customFormat="1" ht="15">
      <c r="A86" s="14"/>
      <c r="B86" s="44" t="s">
        <v>14</v>
      </c>
      <c r="C86" s="43">
        <v>40</v>
      </c>
      <c r="D86" s="4">
        <v>2.2400000000000002</v>
      </c>
      <c r="E86" s="4">
        <v>0.88</v>
      </c>
      <c r="F86" s="4">
        <v>19.760000000000002</v>
      </c>
      <c r="G86" s="4">
        <v>91.96</v>
      </c>
      <c r="H86" s="4">
        <v>0.04</v>
      </c>
      <c r="I86" s="4"/>
      <c r="J86" s="4"/>
      <c r="K86" s="4">
        <v>0.36</v>
      </c>
      <c r="L86" s="4">
        <v>9.1999999999999993</v>
      </c>
      <c r="M86" s="4">
        <v>42.4</v>
      </c>
      <c r="N86" s="4">
        <v>10</v>
      </c>
      <c r="O86" s="4">
        <v>1.24</v>
      </c>
    </row>
    <row r="87" spans="1:15" s="45" customFormat="1" ht="15">
      <c r="A87" s="14"/>
      <c r="B87" s="44" t="s">
        <v>49</v>
      </c>
      <c r="C87" s="43">
        <v>40</v>
      </c>
      <c r="D87" s="4">
        <v>3.16</v>
      </c>
      <c r="E87" s="4">
        <v>0.4</v>
      </c>
      <c r="F87" s="4">
        <v>19.32</v>
      </c>
      <c r="G87" s="4">
        <v>93.52</v>
      </c>
      <c r="H87" s="4">
        <v>0.04</v>
      </c>
      <c r="I87" s="4"/>
      <c r="J87" s="4"/>
      <c r="K87" s="4">
        <v>0.52</v>
      </c>
      <c r="L87" s="4">
        <v>9.1999999999999993</v>
      </c>
      <c r="M87" s="4">
        <v>34.799999999999997</v>
      </c>
      <c r="N87" s="4">
        <v>13.2</v>
      </c>
      <c r="O87" s="4">
        <v>0.44</v>
      </c>
    </row>
    <row r="88" spans="1:15" s="1" customFormat="1" ht="15">
      <c r="A88" s="27" t="s">
        <v>11</v>
      </c>
      <c r="B88" s="27"/>
      <c r="C88" s="27"/>
      <c r="D88" s="28">
        <f>SUM(D81:D87)</f>
        <v>27.293000000000003</v>
      </c>
      <c r="E88" s="28">
        <f t="shared" ref="E88:G88" si="5">SUM(E81:E87)</f>
        <v>27.352999999999998</v>
      </c>
      <c r="F88" s="28">
        <f t="shared" si="5"/>
        <v>127.274</v>
      </c>
      <c r="G88" s="28">
        <f t="shared" si="5"/>
        <v>893.68</v>
      </c>
      <c r="H88" s="28"/>
      <c r="I88" s="28"/>
      <c r="J88" s="28"/>
      <c r="K88" s="28"/>
      <c r="L88" s="28"/>
      <c r="M88" s="28"/>
      <c r="N88" s="28"/>
      <c r="O88" s="28"/>
    </row>
    <row r="89" spans="1:15" s="1" customFormat="1" ht="15.75">
      <c r="A89" s="48" t="s">
        <v>27</v>
      </c>
      <c r="B89" s="40" t="s">
        <v>39</v>
      </c>
    </row>
    <row r="90" spans="1:15" s="1" customFormat="1" ht="15.75">
      <c r="A90" s="48" t="s">
        <v>29</v>
      </c>
      <c r="B90" s="40" t="s">
        <v>30</v>
      </c>
    </row>
    <row r="91" spans="1:15" s="1" customFormat="1" ht="15.75">
      <c r="A91" s="48" t="s">
        <v>31</v>
      </c>
      <c r="B91" s="6" t="s">
        <v>78</v>
      </c>
    </row>
    <row r="92" spans="1:15" s="1" customFormat="1" ht="31.5">
      <c r="A92" s="48" t="s">
        <v>32</v>
      </c>
      <c r="B92" s="40" t="s">
        <v>33</v>
      </c>
    </row>
    <row r="93" spans="1:15" s="1" customFormat="1" ht="15.75">
      <c r="A93" s="126" t="s">
        <v>21</v>
      </c>
      <c r="B93" s="126" t="s">
        <v>18</v>
      </c>
      <c r="C93" s="126" t="s">
        <v>20</v>
      </c>
      <c r="D93" s="117" t="s">
        <v>24</v>
      </c>
      <c r="E93" s="118"/>
      <c r="F93" s="119"/>
      <c r="G93" s="126" t="s">
        <v>0</v>
      </c>
      <c r="H93" s="117" t="s">
        <v>23</v>
      </c>
      <c r="I93" s="118"/>
      <c r="J93" s="118"/>
      <c r="K93" s="119"/>
      <c r="L93" s="117" t="s">
        <v>22</v>
      </c>
      <c r="M93" s="118"/>
      <c r="N93" s="118"/>
      <c r="O93" s="119"/>
    </row>
    <row r="94" spans="1:15" s="1" customFormat="1" ht="15.75">
      <c r="A94" s="127"/>
      <c r="B94" s="128"/>
      <c r="C94" s="155"/>
      <c r="D94" s="50" t="s">
        <v>1</v>
      </c>
      <c r="E94" s="50" t="s">
        <v>2</v>
      </c>
      <c r="F94" s="50" t="s">
        <v>3</v>
      </c>
      <c r="G94" s="127"/>
      <c r="H94" s="50" t="s">
        <v>63</v>
      </c>
      <c r="I94" s="50" t="s">
        <v>4</v>
      </c>
      <c r="J94" s="50" t="s">
        <v>5</v>
      </c>
      <c r="K94" s="50" t="s">
        <v>6</v>
      </c>
      <c r="L94" s="50" t="s">
        <v>7</v>
      </c>
      <c r="M94" s="50" t="s">
        <v>8</v>
      </c>
      <c r="N94" s="50" t="s">
        <v>9</v>
      </c>
      <c r="O94" s="50" t="s">
        <v>10</v>
      </c>
    </row>
    <row r="95" spans="1:15" s="1" customFormat="1" ht="18.75">
      <c r="A95" s="156" t="s">
        <v>25</v>
      </c>
      <c r="B95" s="137"/>
      <c r="C95" s="137"/>
      <c r="D95" s="137"/>
      <c r="E95" s="137"/>
      <c r="F95" s="137"/>
      <c r="G95" s="137"/>
      <c r="H95" s="137"/>
      <c r="I95" s="137"/>
      <c r="J95" s="137"/>
      <c r="K95" s="137"/>
      <c r="L95" s="137"/>
      <c r="M95" s="137"/>
      <c r="N95" s="137"/>
      <c r="O95" s="157"/>
    </row>
    <row r="96" spans="1:15" s="3" customFormat="1" ht="25.5">
      <c r="A96" s="62">
        <v>182</v>
      </c>
      <c r="B96" s="44" t="s">
        <v>71</v>
      </c>
      <c r="C96" s="62">
        <v>220</v>
      </c>
      <c r="D96" s="2">
        <v>5.0999999999999996</v>
      </c>
      <c r="E96" s="2">
        <v>10.72</v>
      </c>
      <c r="F96" s="2">
        <v>33.42</v>
      </c>
      <c r="G96" s="2">
        <v>251</v>
      </c>
      <c r="H96" s="2">
        <v>0.06</v>
      </c>
      <c r="I96" s="2">
        <v>1.17</v>
      </c>
      <c r="J96" s="2">
        <v>58</v>
      </c>
      <c r="K96" s="2">
        <v>0.21</v>
      </c>
      <c r="L96" s="2">
        <v>130.09</v>
      </c>
      <c r="M96" s="2">
        <v>138.13999999999999</v>
      </c>
      <c r="N96" s="2">
        <v>30.12</v>
      </c>
      <c r="O96" s="2">
        <v>0.47</v>
      </c>
    </row>
    <row r="97" spans="1:27" s="45" customFormat="1" ht="15">
      <c r="A97" s="43">
        <v>209</v>
      </c>
      <c r="B97" s="44" t="s">
        <v>46</v>
      </c>
      <c r="C97" s="43">
        <v>40</v>
      </c>
      <c r="D97" s="4">
        <v>5.08</v>
      </c>
      <c r="E97" s="4">
        <v>4.5999999999999996</v>
      </c>
      <c r="F97" s="4">
        <v>0.28000000000000003</v>
      </c>
      <c r="G97" s="4">
        <v>63</v>
      </c>
      <c r="H97" s="4">
        <v>0.03</v>
      </c>
      <c r="I97" s="4"/>
      <c r="J97" s="4">
        <v>100</v>
      </c>
      <c r="K97" s="4">
        <v>0.24</v>
      </c>
      <c r="L97" s="4">
        <v>22</v>
      </c>
      <c r="M97" s="4">
        <v>76.8</v>
      </c>
      <c r="N97" s="4">
        <v>4.8</v>
      </c>
      <c r="O97" s="4">
        <v>1</v>
      </c>
    </row>
    <row r="98" spans="1:27" s="45" customFormat="1" ht="15">
      <c r="A98" s="99">
        <v>2</v>
      </c>
      <c r="B98" s="44" t="s">
        <v>66</v>
      </c>
      <c r="C98" s="20">
        <v>60</v>
      </c>
      <c r="D98" s="26">
        <v>3.7</v>
      </c>
      <c r="E98" s="26">
        <v>8.5</v>
      </c>
      <c r="F98" s="26">
        <v>26.25</v>
      </c>
      <c r="G98" s="26">
        <v>155</v>
      </c>
      <c r="H98" s="26">
        <v>3.4000000000000002E-2</v>
      </c>
      <c r="I98" s="26"/>
      <c r="J98" s="26">
        <v>0.13</v>
      </c>
      <c r="K98" s="26">
        <v>0.44</v>
      </c>
      <c r="L98" s="26">
        <v>8.4</v>
      </c>
      <c r="M98" s="26">
        <v>22.5</v>
      </c>
      <c r="N98" s="26">
        <v>4.2</v>
      </c>
      <c r="O98" s="26">
        <v>0.35</v>
      </c>
      <c r="P98" s="52"/>
      <c r="Q98" s="52"/>
      <c r="R98" s="52"/>
      <c r="S98" s="52"/>
    </row>
    <row r="99" spans="1:27" s="9" customFormat="1" ht="15">
      <c r="A99" s="100"/>
      <c r="B99" s="14" t="s">
        <v>67</v>
      </c>
      <c r="C99" s="20">
        <v>50</v>
      </c>
      <c r="D99" s="131"/>
      <c r="E99" s="132"/>
      <c r="F99" s="132"/>
      <c r="G99" s="132"/>
      <c r="H99" s="132"/>
      <c r="I99" s="132"/>
      <c r="J99" s="132"/>
      <c r="K99" s="132"/>
      <c r="L99" s="132"/>
      <c r="M99" s="132"/>
      <c r="N99" s="132"/>
      <c r="O99" s="133"/>
      <c r="P99" s="19"/>
      <c r="Q99" s="19"/>
      <c r="R99" s="15"/>
      <c r="S99" s="15"/>
    </row>
    <row r="100" spans="1:27" ht="15">
      <c r="A100" s="122"/>
      <c r="B100" s="13" t="s">
        <v>50</v>
      </c>
      <c r="C100" s="20">
        <v>10</v>
      </c>
      <c r="D100" s="134"/>
      <c r="E100" s="135"/>
      <c r="F100" s="135"/>
      <c r="G100" s="135"/>
      <c r="H100" s="135"/>
      <c r="I100" s="135"/>
      <c r="J100" s="135"/>
      <c r="K100" s="135"/>
      <c r="L100" s="135"/>
      <c r="M100" s="135"/>
      <c r="N100" s="135"/>
      <c r="O100" s="136"/>
      <c r="P100" s="19"/>
      <c r="Q100" s="19"/>
      <c r="R100" s="53"/>
      <c r="S100" s="53"/>
    </row>
    <row r="101" spans="1:27" s="45" customFormat="1" ht="15">
      <c r="A101" s="43">
        <v>352</v>
      </c>
      <c r="B101" s="44" t="s">
        <v>40</v>
      </c>
      <c r="C101" s="43">
        <v>200</v>
      </c>
      <c r="D101" s="4">
        <f>0.54/5</f>
        <v>0.10800000000000001</v>
      </c>
      <c r="E101" s="4">
        <f>0.6/5</f>
        <v>0.12</v>
      </c>
      <c r="F101" s="4">
        <f>125.46/5</f>
        <v>25.091999999999999</v>
      </c>
      <c r="G101" s="4">
        <f>596/5</f>
        <v>119.2</v>
      </c>
      <c r="H101" s="4">
        <f>0.05/5</f>
        <v>0.01</v>
      </c>
      <c r="I101" s="4">
        <f>9.15/5</f>
        <v>1.83</v>
      </c>
      <c r="J101" s="4"/>
      <c r="K101" s="4">
        <f>0.3/5</f>
        <v>0.06</v>
      </c>
      <c r="L101" s="4">
        <f>57.3/5</f>
        <v>11.459999999999999</v>
      </c>
      <c r="M101" s="4">
        <f>33.1/5</f>
        <v>6.62</v>
      </c>
      <c r="N101" s="4">
        <f>18.2/5</f>
        <v>3.6399999999999997</v>
      </c>
      <c r="O101" s="11">
        <v>0.56999999999999995</v>
      </c>
    </row>
    <row r="102" spans="1:27" s="45" customFormat="1" ht="15">
      <c r="A102" s="27" t="s">
        <v>11</v>
      </c>
      <c r="B102" s="27"/>
      <c r="C102" s="27"/>
      <c r="D102" s="74">
        <f>SUM(D96:D101)</f>
        <v>13.988</v>
      </c>
      <c r="E102" s="74">
        <f t="shared" ref="E102:G102" si="6">SUM(E96:E101)</f>
        <v>23.94</v>
      </c>
      <c r="F102" s="74">
        <f t="shared" si="6"/>
        <v>85.042000000000002</v>
      </c>
      <c r="G102" s="74">
        <f t="shared" si="6"/>
        <v>588.20000000000005</v>
      </c>
      <c r="H102" s="74"/>
      <c r="I102" s="74"/>
      <c r="J102" s="74"/>
      <c r="K102" s="74"/>
      <c r="L102" s="74"/>
      <c r="M102" s="74"/>
      <c r="N102" s="74"/>
      <c r="O102" s="74"/>
    </row>
    <row r="103" spans="1:27" s="45" customFormat="1" ht="18.75">
      <c r="B103" s="78"/>
      <c r="C103" s="78"/>
      <c r="D103" s="78"/>
      <c r="E103" s="78"/>
      <c r="F103" s="78"/>
      <c r="G103" s="79" t="s">
        <v>19</v>
      </c>
      <c r="H103" s="78"/>
      <c r="I103" s="78"/>
      <c r="J103" s="78"/>
      <c r="K103" s="78"/>
      <c r="L103" s="78"/>
      <c r="M103" s="78"/>
      <c r="N103" s="78"/>
      <c r="O103" s="80"/>
    </row>
    <row r="104" spans="1:27" s="45" customFormat="1" ht="25.5">
      <c r="A104" s="43">
        <v>45</v>
      </c>
      <c r="B104" s="44" t="s">
        <v>43</v>
      </c>
      <c r="C104" s="43">
        <v>100</v>
      </c>
      <c r="D104" s="4">
        <f>13.12/10</f>
        <v>1.3119999999999998</v>
      </c>
      <c r="E104" s="4">
        <f>32.49/10</f>
        <v>3.2490000000000001</v>
      </c>
      <c r="F104" s="4">
        <f>6.5</f>
        <v>6.5</v>
      </c>
      <c r="G104" s="4">
        <v>60.4</v>
      </c>
      <c r="H104" s="4">
        <v>0.02</v>
      </c>
      <c r="I104" s="4">
        <v>17.010000000000002</v>
      </c>
      <c r="J104" s="4"/>
      <c r="K104" s="4">
        <v>8.39</v>
      </c>
      <c r="L104" s="4">
        <v>24.97</v>
      </c>
      <c r="M104" s="4">
        <v>28.3</v>
      </c>
      <c r="N104" s="4">
        <v>15.09</v>
      </c>
      <c r="O104" s="4">
        <v>0.47</v>
      </c>
    </row>
    <row r="105" spans="1:27" s="8" customFormat="1" ht="25.5">
      <c r="A105" s="43">
        <v>102</v>
      </c>
      <c r="B105" s="44" t="s">
        <v>51</v>
      </c>
      <c r="C105" s="43">
        <v>250</v>
      </c>
      <c r="D105" s="4">
        <f>0.7 +4.9</f>
        <v>5.6000000000000005</v>
      </c>
      <c r="E105" s="4">
        <f xml:space="preserve"> 0.175+10.66</f>
        <v>10.835000000000001</v>
      </c>
      <c r="F105" s="4">
        <v>19.23</v>
      </c>
      <c r="G105" s="4">
        <v>144.43</v>
      </c>
      <c r="H105" s="4">
        <v>0.15</v>
      </c>
      <c r="I105" s="4">
        <v>5.83</v>
      </c>
      <c r="J105" s="4"/>
      <c r="K105" s="4">
        <v>2.4500000000000002</v>
      </c>
      <c r="L105" s="4">
        <f>(10/1000*175)+41.48</f>
        <v>43.23</v>
      </c>
      <c r="M105" s="4">
        <v>137.78</v>
      </c>
      <c r="N105" s="4">
        <v>38.25</v>
      </c>
      <c r="O105" s="4">
        <v>1.83</v>
      </c>
    </row>
    <row r="106" spans="1:27" s="45" customFormat="1" ht="25.5">
      <c r="A106" s="43">
        <v>288</v>
      </c>
      <c r="B106" s="44" t="s">
        <v>60</v>
      </c>
      <c r="C106" s="43">
        <v>110</v>
      </c>
      <c r="D106" s="4">
        <f>11.73*2</f>
        <v>23.46</v>
      </c>
      <c r="E106" s="4">
        <f>12.91*2</f>
        <v>25.82</v>
      </c>
      <c r="F106" s="4">
        <f>0.25*2</f>
        <v>0.5</v>
      </c>
      <c r="G106" s="4">
        <f>164*2</f>
        <v>328</v>
      </c>
      <c r="H106" s="4">
        <f>0.02*2</f>
        <v>0.04</v>
      </c>
      <c r="I106" s="4">
        <f>11.75*2</f>
        <v>23.5</v>
      </c>
      <c r="J106" s="4">
        <f>48.1*2</f>
        <v>96.2</v>
      </c>
      <c r="K106" s="4">
        <f>0.21*2</f>
        <v>0.42</v>
      </c>
      <c r="L106" s="4">
        <f>28*2</f>
        <v>56</v>
      </c>
      <c r="M106" s="4">
        <f>83.55*2</f>
        <v>167.1</v>
      </c>
      <c r="N106" s="4">
        <f>10.14*2</f>
        <v>20.28</v>
      </c>
      <c r="O106" s="4">
        <f>0.91*2</f>
        <v>1.82</v>
      </c>
    </row>
    <row r="107" spans="1:27" s="45" customFormat="1" ht="15">
      <c r="A107" s="43">
        <v>312</v>
      </c>
      <c r="B107" s="44" t="s">
        <v>13</v>
      </c>
      <c r="C107" s="43">
        <v>150</v>
      </c>
      <c r="D107" s="4">
        <f>20.473/100*15</f>
        <v>3.0709499999999998</v>
      </c>
      <c r="E107" s="4">
        <f>32.01/100/15</f>
        <v>2.1340000000000001E-2</v>
      </c>
      <c r="F107" s="4">
        <f>136.26/100*15</f>
        <v>20.438999999999997</v>
      </c>
      <c r="G107" s="4">
        <f>915/100*15</f>
        <v>137.25</v>
      </c>
      <c r="H107" s="4">
        <f>0.93/100*15</f>
        <v>0.13950000000000001</v>
      </c>
      <c r="I107" s="4">
        <f>121.07/100*15</f>
        <v>18.160499999999999</v>
      </c>
      <c r="J107" s="4"/>
      <c r="K107" s="4">
        <f>1.21/100*15</f>
        <v>0.18149999999999999</v>
      </c>
      <c r="L107" s="4">
        <f>246.5/100*15</f>
        <v>36.974999999999994</v>
      </c>
      <c r="M107" s="4">
        <f>577.3/100*15</f>
        <v>86.594999999999999</v>
      </c>
      <c r="N107" s="4">
        <f>185/100*15</f>
        <v>27.75</v>
      </c>
      <c r="O107" s="4">
        <f>6.73/100*15</f>
        <v>1.0095000000000001</v>
      </c>
    </row>
    <row r="108" spans="1:27" s="45" customFormat="1" ht="15">
      <c r="A108" s="72">
        <v>375</v>
      </c>
      <c r="B108" s="44" t="s">
        <v>74</v>
      </c>
      <c r="C108" s="43">
        <v>200</v>
      </c>
      <c r="D108" s="4">
        <f>2/5</f>
        <v>0.4</v>
      </c>
      <c r="E108" s="4">
        <f>0.51/5</f>
        <v>0.10200000000000001</v>
      </c>
      <c r="F108" s="4">
        <f>0.4/5</f>
        <v>0.08</v>
      </c>
      <c r="G108" s="4">
        <f>32/5</f>
        <v>6.4</v>
      </c>
      <c r="H108" s="4">
        <f>0.01/5</f>
        <v>2E-3</v>
      </c>
      <c r="I108" s="4">
        <f>1/5</f>
        <v>0.2</v>
      </c>
      <c r="J108" s="4">
        <f>0</f>
        <v>0</v>
      </c>
      <c r="K108" s="4">
        <f>0</f>
        <v>0</v>
      </c>
      <c r="L108" s="4">
        <f>98.1/5</f>
        <v>19.619999999999997</v>
      </c>
      <c r="M108" s="4">
        <f>82.4/5</f>
        <v>16.48</v>
      </c>
      <c r="N108" s="4">
        <f>44/5</f>
        <v>8.8000000000000007</v>
      </c>
      <c r="O108" s="4">
        <f>8.2/5</f>
        <v>1.64</v>
      </c>
    </row>
    <row r="109" spans="1:27" s="45" customFormat="1" ht="15">
      <c r="A109" s="14"/>
      <c r="B109" s="44" t="s">
        <v>14</v>
      </c>
      <c r="C109" s="43">
        <v>40</v>
      </c>
      <c r="D109" s="4">
        <v>2.2400000000000002</v>
      </c>
      <c r="E109" s="4">
        <v>0.88</v>
      </c>
      <c r="F109" s="4">
        <v>19.760000000000002</v>
      </c>
      <c r="G109" s="4">
        <v>91.96</v>
      </c>
      <c r="H109" s="4">
        <v>0.04</v>
      </c>
      <c r="I109" s="4"/>
      <c r="J109" s="4"/>
      <c r="K109" s="4">
        <v>0.36</v>
      </c>
      <c r="L109" s="4">
        <v>9.1999999999999993</v>
      </c>
      <c r="M109" s="4">
        <v>42.4</v>
      </c>
      <c r="N109" s="4">
        <v>10</v>
      </c>
      <c r="O109" s="4">
        <v>1.24</v>
      </c>
    </row>
    <row r="110" spans="1:27" s="45" customFormat="1" ht="15">
      <c r="A110" s="14"/>
      <c r="B110" s="44" t="s">
        <v>49</v>
      </c>
      <c r="C110" s="43">
        <v>40</v>
      </c>
      <c r="D110" s="4">
        <v>3.16</v>
      </c>
      <c r="E110" s="4">
        <v>0.4</v>
      </c>
      <c r="F110" s="4">
        <v>19.32</v>
      </c>
      <c r="G110" s="4">
        <v>93.52</v>
      </c>
      <c r="H110" s="4">
        <v>0.04</v>
      </c>
      <c r="I110" s="4"/>
      <c r="J110" s="4"/>
      <c r="K110" s="4">
        <v>0.52</v>
      </c>
      <c r="L110" s="4">
        <v>9.1999999999999993</v>
      </c>
      <c r="M110" s="4">
        <v>34.799999999999997</v>
      </c>
      <c r="N110" s="4">
        <v>13.2</v>
      </c>
      <c r="O110" s="4">
        <v>0.44</v>
      </c>
    </row>
    <row r="111" spans="1:27" s="45" customFormat="1" ht="15">
      <c r="A111" s="27" t="s">
        <v>11</v>
      </c>
      <c r="B111" s="27"/>
      <c r="C111" s="27"/>
      <c r="D111" s="74">
        <f>SUM(D104:D110)</f>
        <v>39.242949999999993</v>
      </c>
      <c r="E111" s="74">
        <f t="shared" ref="E111:G111" si="7">SUM(E104:E110)</f>
        <v>41.307340000000003</v>
      </c>
      <c r="F111" s="74">
        <f t="shared" si="7"/>
        <v>85.829000000000008</v>
      </c>
      <c r="G111" s="74">
        <f t="shared" si="7"/>
        <v>861.96</v>
      </c>
      <c r="H111" s="74"/>
      <c r="I111" s="74"/>
      <c r="J111" s="74"/>
      <c r="K111" s="74"/>
      <c r="L111" s="74"/>
      <c r="M111" s="74"/>
      <c r="N111" s="74"/>
      <c r="O111" s="74"/>
    </row>
    <row r="112" spans="1:27" s="1" customFormat="1" ht="15.75">
      <c r="A112" s="48" t="s">
        <v>27</v>
      </c>
      <c r="B112" s="40" t="s">
        <v>28</v>
      </c>
      <c r="Q112" s="59"/>
      <c r="R112" s="59"/>
      <c r="S112" s="59"/>
      <c r="T112" s="59"/>
      <c r="U112" s="59"/>
      <c r="V112" s="59"/>
      <c r="W112" s="59"/>
      <c r="X112" s="59"/>
      <c r="Y112" s="59"/>
      <c r="Z112" s="59"/>
      <c r="AA112" s="59"/>
    </row>
    <row r="113" spans="1:27" s="1" customFormat="1" ht="15.75">
      <c r="A113" s="48" t="s">
        <v>29</v>
      </c>
      <c r="B113" s="40" t="s">
        <v>48</v>
      </c>
      <c r="Q113" s="59"/>
      <c r="R113" s="59"/>
      <c r="S113" s="59"/>
      <c r="T113" s="59"/>
      <c r="U113" s="59"/>
      <c r="V113" s="59"/>
      <c r="W113" s="59"/>
      <c r="X113" s="59"/>
      <c r="Y113" s="59"/>
      <c r="Z113" s="59"/>
      <c r="AA113" s="59"/>
    </row>
    <row r="114" spans="1:27" s="1" customFormat="1" ht="15.75">
      <c r="A114" s="48" t="s">
        <v>31</v>
      </c>
      <c r="B114" s="6" t="s">
        <v>78</v>
      </c>
      <c r="Q114" s="59"/>
      <c r="R114" s="59"/>
      <c r="S114" s="59"/>
      <c r="T114" s="59"/>
      <c r="U114" s="59"/>
      <c r="V114" s="59"/>
      <c r="W114" s="59"/>
      <c r="X114" s="59"/>
      <c r="Y114" s="59"/>
      <c r="Z114" s="59"/>
      <c r="AA114" s="59"/>
    </row>
    <row r="115" spans="1:27" s="1" customFormat="1" ht="31.5">
      <c r="A115" s="48" t="s">
        <v>32</v>
      </c>
      <c r="B115" s="40" t="s">
        <v>33</v>
      </c>
      <c r="Q115" s="59"/>
      <c r="R115" s="59"/>
      <c r="S115" s="59"/>
      <c r="T115" s="59"/>
      <c r="U115" s="59"/>
      <c r="V115" s="59"/>
      <c r="W115" s="59"/>
      <c r="X115" s="59"/>
      <c r="Y115" s="59"/>
      <c r="Z115" s="59"/>
      <c r="AA115" s="59"/>
    </row>
    <row r="116" spans="1:27" s="1" customFormat="1" ht="15.75">
      <c r="A116" s="126" t="s">
        <v>21</v>
      </c>
      <c r="B116" s="126" t="s">
        <v>18</v>
      </c>
      <c r="C116" s="126" t="s">
        <v>20</v>
      </c>
      <c r="D116" s="117" t="s">
        <v>24</v>
      </c>
      <c r="E116" s="118"/>
      <c r="F116" s="119"/>
      <c r="G116" s="126" t="s">
        <v>0</v>
      </c>
      <c r="H116" s="117" t="s">
        <v>23</v>
      </c>
      <c r="I116" s="118"/>
      <c r="J116" s="118"/>
      <c r="K116" s="119"/>
      <c r="L116" s="117" t="s">
        <v>22</v>
      </c>
      <c r="M116" s="118"/>
      <c r="N116" s="118"/>
      <c r="O116" s="119"/>
    </row>
    <row r="117" spans="1:27" s="1" customFormat="1" ht="15.75">
      <c r="A117" s="127"/>
      <c r="B117" s="128"/>
      <c r="C117" s="155"/>
      <c r="D117" s="50" t="s">
        <v>1</v>
      </c>
      <c r="E117" s="50" t="s">
        <v>2</v>
      </c>
      <c r="F117" s="50" t="s">
        <v>3</v>
      </c>
      <c r="G117" s="127"/>
      <c r="H117" s="50" t="s">
        <v>63</v>
      </c>
      <c r="I117" s="50" t="s">
        <v>4</v>
      </c>
      <c r="J117" s="50" t="s">
        <v>5</v>
      </c>
      <c r="K117" s="50" t="s">
        <v>6</v>
      </c>
      <c r="L117" s="50" t="s">
        <v>7</v>
      </c>
      <c r="M117" s="50" t="s">
        <v>8</v>
      </c>
      <c r="N117" s="50" t="s">
        <v>9</v>
      </c>
      <c r="O117" s="50" t="s">
        <v>10</v>
      </c>
    </row>
    <row r="118" spans="1:27" s="3" customFormat="1" ht="17.25" customHeight="1">
      <c r="A118" s="121" t="s">
        <v>25</v>
      </c>
      <c r="B118" s="121"/>
      <c r="C118" s="121"/>
      <c r="D118" s="121"/>
      <c r="E118" s="121"/>
      <c r="F118" s="121"/>
      <c r="G118" s="121"/>
      <c r="H118" s="121"/>
      <c r="I118" s="121"/>
      <c r="J118" s="121"/>
      <c r="K118" s="121"/>
      <c r="L118" s="121"/>
      <c r="M118" s="121"/>
      <c r="N118" s="121"/>
      <c r="O118" s="121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 s="3" customFormat="1" ht="25.5">
      <c r="A119" s="62">
        <v>215</v>
      </c>
      <c r="B119" s="44" t="s">
        <v>58</v>
      </c>
      <c r="C119" s="62">
        <v>110</v>
      </c>
      <c r="D119" s="2">
        <f>5.67*2</f>
        <v>11.34</v>
      </c>
      <c r="E119" s="2">
        <f>9.89*2</f>
        <v>19.78</v>
      </c>
      <c r="F119" s="2">
        <f>1.47*2</f>
        <v>2.94</v>
      </c>
      <c r="G119" s="2">
        <f>118*2</f>
        <v>236</v>
      </c>
      <c r="H119" s="2">
        <f>0.03*2</f>
        <v>0.06</v>
      </c>
      <c r="I119" s="2">
        <f>0.17*2</f>
        <v>0.34</v>
      </c>
      <c r="J119" s="2">
        <f>127.4*2</f>
        <v>254.8</v>
      </c>
      <c r="K119" s="2">
        <f>0.29*2</f>
        <v>0.57999999999999996</v>
      </c>
      <c r="L119" s="2">
        <f>50.9*2</f>
        <v>101.8</v>
      </c>
      <c r="M119" s="2">
        <f>95.8*2</f>
        <v>191.6</v>
      </c>
      <c r="N119" s="2">
        <f>7.48*2</f>
        <v>14.96</v>
      </c>
      <c r="O119" s="2">
        <f>1.03*2</f>
        <v>2.06</v>
      </c>
    </row>
    <row r="120" spans="1:27" s="45" customFormat="1" ht="15">
      <c r="A120" s="99">
        <v>2</v>
      </c>
      <c r="B120" s="44" t="s">
        <v>66</v>
      </c>
      <c r="C120" s="20">
        <v>60</v>
      </c>
      <c r="D120" s="26">
        <v>3.7</v>
      </c>
      <c r="E120" s="26">
        <v>8.5</v>
      </c>
      <c r="F120" s="26">
        <v>26.25</v>
      </c>
      <c r="G120" s="33">
        <v>155</v>
      </c>
      <c r="H120" s="26">
        <v>3.4000000000000002E-2</v>
      </c>
      <c r="I120" s="26"/>
      <c r="J120" s="26">
        <v>0.13</v>
      </c>
      <c r="K120" s="26">
        <v>0.44</v>
      </c>
      <c r="L120" s="26">
        <v>8.4</v>
      </c>
      <c r="M120" s="26">
        <v>22.5</v>
      </c>
      <c r="N120" s="26">
        <v>4.2</v>
      </c>
      <c r="O120" s="26">
        <v>0.35</v>
      </c>
      <c r="P120" s="52"/>
      <c r="Q120" s="52"/>
      <c r="R120" s="52"/>
      <c r="S120" s="52"/>
    </row>
    <row r="121" spans="1:27" s="9" customFormat="1" ht="15">
      <c r="A121" s="100"/>
      <c r="B121" s="14" t="s">
        <v>67</v>
      </c>
      <c r="C121" s="20">
        <v>50</v>
      </c>
      <c r="D121" s="131"/>
      <c r="E121" s="132"/>
      <c r="F121" s="132"/>
      <c r="G121" s="132"/>
      <c r="H121" s="132"/>
      <c r="I121" s="132"/>
      <c r="J121" s="132"/>
      <c r="K121" s="132"/>
      <c r="L121" s="132"/>
      <c r="M121" s="132"/>
      <c r="N121" s="132"/>
      <c r="O121" s="133"/>
      <c r="P121" s="19"/>
      <c r="Q121" s="19"/>
      <c r="R121" s="15"/>
      <c r="S121" s="15"/>
    </row>
    <row r="122" spans="1:27" ht="15">
      <c r="A122" s="122"/>
      <c r="B122" s="13" t="s">
        <v>50</v>
      </c>
      <c r="C122" s="20">
        <v>10</v>
      </c>
      <c r="D122" s="134"/>
      <c r="E122" s="135"/>
      <c r="F122" s="135"/>
      <c r="G122" s="135"/>
      <c r="H122" s="135"/>
      <c r="I122" s="135"/>
      <c r="J122" s="135"/>
      <c r="K122" s="135"/>
      <c r="L122" s="135"/>
      <c r="M122" s="135"/>
      <c r="N122" s="135"/>
      <c r="O122" s="136"/>
      <c r="P122" s="19"/>
      <c r="Q122" s="19"/>
      <c r="R122" s="53"/>
      <c r="S122" s="53"/>
    </row>
    <row r="123" spans="1:27" s="45" customFormat="1" ht="15">
      <c r="A123" s="43">
        <v>379</v>
      </c>
      <c r="B123" s="44" t="s">
        <v>54</v>
      </c>
      <c r="C123" s="43">
        <v>200</v>
      </c>
      <c r="D123" s="4">
        <f>15.83/5</f>
        <v>3.1659999999999999</v>
      </c>
      <c r="E123" s="4">
        <f>13.39/5</f>
        <v>2.6779999999999999</v>
      </c>
      <c r="F123" s="4">
        <f>79.73/5</f>
        <v>15.946000000000002</v>
      </c>
      <c r="G123" s="4">
        <f>503/5</f>
        <v>100.6</v>
      </c>
      <c r="H123" s="4">
        <f>0.22/5</f>
        <v>4.3999999999999997E-2</v>
      </c>
      <c r="I123" s="4">
        <f>6.5/5</f>
        <v>1.3</v>
      </c>
      <c r="J123" s="4">
        <f>100/5</f>
        <v>20</v>
      </c>
      <c r="K123" s="4"/>
      <c r="L123" s="4">
        <f>628.9/5</f>
        <v>125.78</v>
      </c>
      <c r="M123" s="4">
        <f>450/5</f>
        <v>90</v>
      </c>
      <c r="N123" s="4">
        <f>70/5</f>
        <v>14</v>
      </c>
      <c r="O123" s="4">
        <f>0.67/5</f>
        <v>0.13400000000000001</v>
      </c>
      <c r="P123" s="81"/>
      <c r="Q123" s="52"/>
    </row>
    <row r="124" spans="1:27" s="9" customFormat="1" ht="16.149999999999999" customHeight="1">
      <c r="A124" s="27" t="s">
        <v>11</v>
      </c>
      <c r="B124" s="27"/>
      <c r="C124" s="27"/>
      <c r="D124" s="74">
        <f>SUM(D119:D123)</f>
        <v>18.206</v>
      </c>
      <c r="E124" s="74">
        <f t="shared" ref="E124:G124" si="8">SUM(E119:E123)</f>
        <v>30.958000000000002</v>
      </c>
      <c r="F124" s="74">
        <f t="shared" si="8"/>
        <v>45.136000000000003</v>
      </c>
      <c r="G124" s="74">
        <f t="shared" si="8"/>
        <v>491.6</v>
      </c>
      <c r="H124" s="74"/>
      <c r="I124" s="74"/>
      <c r="J124" s="74"/>
      <c r="K124" s="74"/>
      <c r="L124" s="74"/>
      <c r="M124" s="74"/>
      <c r="N124" s="74"/>
      <c r="O124" s="74"/>
      <c r="Q124" s="15"/>
      <c r="R124" s="15"/>
      <c r="S124" s="82"/>
      <c r="T124" s="83"/>
      <c r="U124" s="83"/>
      <c r="V124" s="83"/>
      <c r="W124" s="84"/>
      <c r="X124" s="84"/>
      <c r="Y124" s="84"/>
      <c r="Z124" s="84"/>
      <c r="AA124" s="84"/>
    </row>
    <row r="125" spans="1:27" s="9" customFormat="1" ht="23.25" customHeight="1">
      <c r="A125" s="152" t="s">
        <v>19</v>
      </c>
      <c r="B125" s="153"/>
      <c r="C125" s="153"/>
      <c r="D125" s="153"/>
      <c r="E125" s="153"/>
      <c r="F125" s="153"/>
      <c r="G125" s="153"/>
      <c r="H125" s="153"/>
      <c r="I125" s="153"/>
      <c r="J125" s="153"/>
      <c r="K125" s="153"/>
      <c r="L125" s="153"/>
      <c r="M125" s="153"/>
      <c r="N125" s="153"/>
      <c r="O125" s="154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</row>
    <row r="126" spans="1:27" s="45" customFormat="1" ht="25.5">
      <c r="A126" s="43">
        <v>67</v>
      </c>
      <c r="B126" s="44" t="s">
        <v>53</v>
      </c>
      <c r="C126" s="43">
        <v>100</v>
      </c>
      <c r="D126" s="4">
        <v>1.4</v>
      </c>
      <c r="E126" s="4">
        <v>10.039999999999999</v>
      </c>
      <c r="F126" s="4">
        <v>7.29</v>
      </c>
      <c r="G126" s="4">
        <f>125.1</f>
        <v>125.1</v>
      </c>
      <c r="H126" s="4">
        <f>0.44/10</f>
        <v>4.3999999999999997E-2</v>
      </c>
      <c r="I126" s="4">
        <v>9.6300000000000008</v>
      </c>
      <c r="J126" s="4"/>
      <c r="K126" s="4">
        <v>4.5</v>
      </c>
      <c r="L126" s="4">
        <v>31.23</v>
      </c>
      <c r="M126" s="4">
        <v>43.27</v>
      </c>
      <c r="N126" s="4">
        <v>19.53</v>
      </c>
      <c r="O126" s="4">
        <v>0.83</v>
      </c>
    </row>
    <row r="127" spans="1:27" s="9" customFormat="1" ht="25.5" customHeight="1">
      <c r="A127" s="43">
        <v>112</v>
      </c>
      <c r="B127" s="44" t="s">
        <v>80</v>
      </c>
      <c r="C127" s="43">
        <v>250</v>
      </c>
      <c r="D127" s="4">
        <f>10.27/4+0.8</f>
        <v>3.3674999999999997</v>
      </c>
      <c r="E127" s="4">
        <f>11.12/4+0.2</f>
        <v>2.98</v>
      </c>
      <c r="F127" s="4">
        <f>62.75/4</f>
        <v>15.6875</v>
      </c>
      <c r="G127" s="4">
        <f>436/4+5+30</f>
        <v>144</v>
      </c>
      <c r="H127" s="4">
        <f>0.37/4</f>
        <v>9.2499999999999999E-2</v>
      </c>
      <c r="I127" s="4">
        <f>24.3/4</f>
        <v>6.0750000000000002</v>
      </c>
      <c r="J127" s="4"/>
      <c r="K127" s="4">
        <f>5.8/4</f>
        <v>1.45</v>
      </c>
      <c r="L127" s="4">
        <f>118/4+2</f>
        <v>31.5</v>
      </c>
      <c r="M127" s="4">
        <f>230.9/4</f>
        <v>57.725000000000001</v>
      </c>
      <c r="N127" s="4">
        <f>95.2/4</f>
        <v>23.8</v>
      </c>
      <c r="O127" s="4">
        <f>4/4</f>
        <v>1</v>
      </c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</row>
    <row r="128" spans="1:27" s="45" customFormat="1" ht="25.5">
      <c r="A128" s="43">
        <v>227</v>
      </c>
      <c r="B128" s="44" t="s">
        <v>61</v>
      </c>
      <c r="C128" s="43">
        <v>110</v>
      </c>
      <c r="D128" s="4">
        <f>8.56*2</f>
        <v>17.12</v>
      </c>
      <c r="E128" s="4">
        <f>4.11*2</f>
        <v>8.2200000000000006</v>
      </c>
      <c r="F128" s="4">
        <f>0.46*2</f>
        <v>0.92</v>
      </c>
      <c r="G128" s="4">
        <f>73*2</f>
        <v>146</v>
      </c>
      <c r="H128" s="4">
        <f>0.04*2</f>
        <v>0.08</v>
      </c>
      <c r="I128" s="4">
        <f>0.42*2</f>
        <v>0.84</v>
      </c>
      <c r="J128" s="4">
        <f>24.5*2</f>
        <v>49</v>
      </c>
      <c r="K128" s="4">
        <f>0.24*2</f>
        <v>0.48</v>
      </c>
      <c r="L128" s="4">
        <f>7.73*2</f>
        <v>15.46</v>
      </c>
      <c r="M128" s="4">
        <f>97.84*2</f>
        <v>195.68</v>
      </c>
      <c r="N128" s="4">
        <f>22.92*2</f>
        <v>45.84</v>
      </c>
      <c r="O128" s="4">
        <f>0.45*2</f>
        <v>0.9</v>
      </c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</row>
    <row r="129" spans="1:27" s="45" customFormat="1" ht="15">
      <c r="A129" s="43">
        <v>304</v>
      </c>
      <c r="B129" s="44" t="s">
        <v>15</v>
      </c>
      <c r="C129" s="43">
        <v>150</v>
      </c>
      <c r="D129" s="4">
        <f>24.34/20*3</f>
        <v>3.6510000000000002</v>
      </c>
      <c r="E129" s="4">
        <f>35.83/20*3</f>
        <v>5.3744999999999994</v>
      </c>
      <c r="F129" s="4">
        <f>244.56/20*3</f>
        <v>36.683999999999997</v>
      </c>
      <c r="G129" s="4">
        <f>1398/20*3</f>
        <v>209.70000000000002</v>
      </c>
      <c r="H129" s="4">
        <f>0.17/20*3</f>
        <v>2.5500000000000002E-2</v>
      </c>
      <c r="I129" s="4"/>
      <c r="J129" s="4"/>
      <c r="K129" s="4">
        <f>1.88/20*3</f>
        <v>0.28200000000000003</v>
      </c>
      <c r="L129" s="4">
        <f>9.1/20*3</f>
        <v>1.3649999999999998</v>
      </c>
      <c r="M129" s="4">
        <f>406.3/20*3</f>
        <v>60.945000000000007</v>
      </c>
      <c r="N129" s="4">
        <f>108.9/20*3</f>
        <v>16.335000000000001</v>
      </c>
      <c r="O129" s="4">
        <f>3.51/20*3</f>
        <v>0.52649999999999997</v>
      </c>
    </row>
    <row r="130" spans="1:27" s="45" customFormat="1" ht="15">
      <c r="A130" s="43">
        <v>342</v>
      </c>
      <c r="B130" s="44" t="s">
        <v>75</v>
      </c>
      <c r="C130" s="43">
        <v>200</v>
      </c>
      <c r="D130" s="4">
        <f>0.8/5</f>
        <v>0.16</v>
      </c>
      <c r="E130" s="4">
        <f>0.8/5</f>
        <v>0.16</v>
      </c>
      <c r="F130" s="4">
        <f>139.4/5</f>
        <v>27.880000000000003</v>
      </c>
      <c r="G130" s="4">
        <f>573/5</f>
        <v>114.6</v>
      </c>
      <c r="H130" s="4">
        <f>0.06</f>
        <v>0.06</v>
      </c>
      <c r="I130" s="4">
        <f>4.5/5</f>
        <v>0.9</v>
      </c>
      <c r="J130" s="4">
        <f>0</f>
        <v>0</v>
      </c>
      <c r="K130" s="4">
        <f>0.4/5</f>
        <v>0.08</v>
      </c>
      <c r="L130" s="4">
        <f>70.9/5</f>
        <v>14.180000000000001</v>
      </c>
      <c r="M130" s="4">
        <f>22/5</f>
        <v>4.4000000000000004</v>
      </c>
      <c r="N130" s="4">
        <f>25.7/5</f>
        <v>5.14</v>
      </c>
      <c r="O130" s="4">
        <f>4.76/5</f>
        <v>0.95199999999999996</v>
      </c>
    </row>
    <row r="131" spans="1:27" s="45" customFormat="1" ht="15">
      <c r="A131" s="14"/>
      <c r="B131" s="44" t="s">
        <v>14</v>
      </c>
      <c r="C131" s="43">
        <v>40</v>
      </c>
      <c r="D131" s="4">
        <v>2.2400000000000002</v>
      </c>
      <c r="E131" s="4">
        <v>0.88</v>
      </c>
      <c r="F131" s="4">
        <v>19.760000000000002</v>
      </c>
      <c r="G131" s="4">
        <v>91.96</v>
      </c>
      <c r="H131" s="4">
        <v>0.04</v>
      </c>
      <c r="I131" s="4"/>
      <c r="J131" s="4"/>
      <c r="K131" s="4">
        <v>0.36</v>
      </c>
      <c r="L131" s="4">
        <v>9.1999999999999993</v>
      </c>
      <c r="M131" s="4">
        <v>42.4</v>
      </c>
      <c r="N131" s="4">
        <v>10</v>
      </c>
      <c r="O131" s="4">
        <v>1.24</v>
      </c>
    </row>
    <row r="132" spans="1:27" s="45" customFormat="1" ht="15">
      <c r="A132" s="14"/>
      <c r="B132" s="44" t="s">
        <v>49</v>
      </c>
      <c r="C132" s="43">
        <v>40</v>
      </c>
      <c r="D132" s="4">
        <v>3.16</v>
      </c>
      <c r="E132" s="4">
        <v>0.4</v>
      </c>
      <c r="F132" s="4">
        <v>19.32</v>
      </c>
      <c r="G132" s="4">
        <v>93.52</v>
      </c>
      <c r="H132" s="4">
        <v>0.04</v>
      </c>
      <c r="I132" s="4"/>
      <c r="J132" s="4"/>
      <c r="K132" s="4">
        <v>0.52</v>
      </c>
      <c r="L132" s="4">
        <v>9.1999999999999993</v>
      </c>
      <c r="M132" s="4">
        <v>34.799999999999997</v>
      </c>
      <c r="N132" s="4">
        <v>13.2</v>
      </c>
      <c r="O132" s="4">
        <v>0.44</v>
      </c>
    </row>
    <row r="133" spans="1:27" s="3" customFormat="1" ht="16.149999999999999" customHeight="1">
      <c r="A133" s="27" t="s">
        <v>11</v>
      </c>
      <c r="B133" s="27"/>
      <c r="C133" s="27"/>
      <c r="D133" s="74">
        <f>SUM(D126:D132)</f>
        <v>31.098500000000005</v>
      </c>
      <c r="E133" s="74">
        <f t="shared" ref="E133:G133" si="9">SUM(E126:E132)</f>
        <v>28.054499999999997</v>
      </c>
      <c r="F133" s="74">
        <f t="shared" si="9"/>
        <v>127.54150000000001</v>
      </c>
      <c r="G133" s="74">
        <f t="shared" si="9"/>
        <v>924.88000000000011</v>
      </c>
      <c r="H133" s="74"/>
      <c r="I133" s="74"/>
      <c r="J133" s="74"/>
      <c r="K133" s="74"/>
      <c r="L133" s="74"/>
      <c r="M133" s="74"/>
      <c r="N133" s="74"/>
      <c r="O133" s="74"/>
      <c r="Q133" s="5"/>
      <c r="R133" s="5"/>
      <c r="S133" s="85"/>
      <c r="T133" s="86"/>
      <c r="U133" s="86"/>
      <c r="V133" s="86"/>
      <c r="W133" s="86"/>
      <c r="X133" s="86"/>
      <c r="Y133" s="86"/>
      <c r="Z133" s="86"/>
      <c r="AA133" s="86"/>
    </row>
    <row r="134" spans="1:27" s="1" customFormat="1" ht="15.75">
      <c r="A134" s="48" t="s">
        <v>27</v>
      </c>
      <c r="B134" s="40" t="s">
        <v>34</v>
      </c>
    </row>
    <row r="135" spans="1:27" s="1" customFormat="1" ht="15.75">
      <c r="A135" s="48" t="s">
        <v>29</v>
      </c>
      <c r="B135" s="40" t="s">
        <v>48</v>
      </c>
    </row>
    <row r="136" spans="1:27" s="1" customFormat="1" ht="15.75">
      <c r="A136" s="48" t="s">
        <v>31</v>
      </c>
      <c r="B136" s="6" t="s">
        <v>78</v>
      </c>
    </row>
    <row r="137" spans="1:27" s="1" customFormat="1" ht="31.5">
      <c r="A137" s="48" t="s">
        <v>32</v>
      </c>
      <c r="B137" s="40" t="s">
        <v>33</v>
      </c>
    </row>
    <row r="138" spans="1:27" s="1" customFormat="1" ht="15.75">
      <c r="A138" s="126" t="s">
        <v>21</v>
      </c>
      <c r="B138" s="126" t="s">
        <v>18</v>
      </c>
      <c r="C138" s="126" t="s">
        <v>20</v>
      </c>
      <c r="D138" s="117" t="s">
        <v>24</v>
      </c>
      <c r="E138" s="118"/>
      <c r="F138" s="119"/>
      <c r="G138" s="126" t="s">
        <v>0</v>
      </c>
      <c r="H138" s="117" t="s">
        <v>23</v>
      </c>
      <c r="I138" s="118"/>
      <c r="J138" s="118"/>
      <c r="K138" s="119"/>
      <c r="L138" s="117" t="s">
        <v>22</v>
      </c>
      <c r="M138" s="118"/>
      <c r="N138" s="118"/>
      <c r="O138" s="119"/>
    </row>
    <row r="139" spans="1:27" s="1" customFormat="1" ht="15.75">
      <c r="A139" s="127"/>
      <c r="B139" s="128"/>
      <c r="C139" s="155"/>
      <c r="D139" s="50" t="s">
        <v>1</v>
      </c>
      <c r="E139" s="50" t="s">
        <v>2</v>
      </c>
      <c r="F139" s="50" t="s">
        <v>3</v>
      </c>
      <c r="G139" s="127"/>
      <c r="H139" s="50" t="s">
        <v>63</v>
      </c>
      <c r="I139" s="50" t="s">
        <v>4</v>
      </c>
      <c r="J139" s="50" t="s">
        <v>5</v>
      </c>
      <c r="K139" s="50" t="s">
        <v>6</v>
      </c>
      <c r="L139" s="50" t="s">
        <v>7</v>
      </c>
      <c r="M139" s="50" t="s">
        <v>8</v>
      </c>
      <c r="N139" s="50" t="s">
        <v>9</v>
      </c>
      <c r="O139" s="50" t="s">
        <v>10</v>
      </c>
    </row>
    <row r="140" spans="1:27" s="3" customFormat="1" ht="15.75" customHeight="1">
      <c r="A140" s="121" t="s">
        <v>25</v>
      </c>
      <c r="B140" s="121"/>
      <c r="C140" s="121"/>
      <c r="D140" s="121"/>
      <c r="E140" s="121"/>
      <c r="F140" s="121"/>
      <c r="G140" s="121"/>
      <c r="H140" s="121"/>
      <c r="I140" s="121"/>
      <c r="J140" s="121"/>
      <c r="K140" s="121"/>
      <c r="L140" s="121"/>
      <c r="M140" s="121"/>
      <c r="N140" s="121"/>
      <c r="O140" s="121"/>
    </row>
    <row r="141" spans="1:27" s="8" customFormat="1" ht="38.25">
      <c r="A141" s="43">
        <v>173</v>
      </c>
      <c r="B141" s="44" t="s">
        <v>70</v>
      </c>
      <c r="C141" s="43" t="s">
        <v>62</v>
      </c>
      <c r="D141" s="4">
        <v>9.0399999999999991</v>
      </c>
      <c r="E141" s="4">
        <v>13.44</v>
      </c>
      <c r="F141" s="4">
        <v>40.159999999999997</v>
      </c>
      <c r="G141" s="4">
        <v>318</v>
      </c>
      <c r="H141" s="4">
        <v>0.21</v>
      </c>
      <c r="I141" s="4">
        <v>0.96</v>
      </c>
      <c r="J141" s="4">
        <v>54.8</v>
      </c>
      <c r="K141" s="4">
        <v>0.73</v>
      </c>
      <c r="L141" s="4">
        <v>158.65</v>
      </c>
      <c r="M141" s="4">
        <v>264.86</v>
      </c>
      <c r="N141" s="4">
        <v>72.05</v>
      </c>
      <c r="O141" s="4">
        <v>2.09</v>
      </c>
    </row>
    <row r="142" spans="1:27" s="45" customFormat="1" ht="15">
      <c r="A142" s="99">
        <v>2</v>
      </c>
      <c r="B142" s="44" t="s">
        <v>85</v>
      </c>
      <c r="C142" s="43">
        <v>60</v>
      </c>
      <c r="D142" s="4">
        <v>3.7</v>
      </c>
      <c r="E142" s="4">
        <v>8.5</v>
      </c>
      <c r="F142" s="4">
        <v>26.25</v>
      </c>
      <c r="G142" s="4">
        <v>155</v>
      </c>
      <c r="H142" s="4">
        <v>3.4000000000000002E-2</v>
      </c>
      <c r="I142" s="4"/>
      <c r="J142" s="4">
        <v>0.13</v>
      </c>
      <c r="K142" s="4">
        <v>0.44</v>
      </c>
      <c r="L142" s="4">
        <v>8.4</v>
      </c>
      <c r="M142" s="4">
        <v>22.5</v>
      </c>
      <c r="N142" s="4">
        <v>4.2</v>
      </c>
      <c r="O142" s="4">
        <v>0.35</v>
      </c>
    </row>
    <row r="143" spans="1:27" s="45" customFormat="1" ht="15">
      <c r="A143" s="100"/>
      <c r="B143" s="17" t="s">
        <v>49</v>
      </c>
      <c r="C143" s="18">
        <v>50</v>
      </c>
      <c r="D143" s="101"/>
      <c r="E143" s="102"/>
      <c r="F143" s="102"/>
      <c r="G143" s="102"/>
      <c r="H143" s="102"/>
      <c r="I143" s="102"/>
      <c r="J143" s="102"/>
      <c r="K143" s="102"/>
      <c r="L143" s="102"/>
      <c r="M143" s="102"/>
      <c r="N143" s="102"/>
      <c r="O143" s="103"/>
    </row>
    <row r="144" spans="1:27" s="45" customFormat="1" ht="15">
      <c r="A144" s="100"/>
      <c r="B144" s="17" t="s">
        <v>50</v>
      </c>
      <c r="C144" s="18">
        <v>10</v>
      </c>
      <c r="D144" s="104"/>
      <c r="E144" s="105"/>
      <c r="F144" s="105"/>
      <c r="G144" s="105"/>
      <c r="H144" s="105"/>
      <c r="I144" s="105"/>
      <c r="J144" s="105"/>
      <c r="K144" s="105"/>
      <c r="L144" s="105"/>
      <c r="M144" s="105"/>
      <c r="N144" s="105"/>
      <c r="O144" s="106"/>
    </row>
    <row r="145" spans="1:15" s="45" customFormat="1" ht="15">
      <c r="A145" s="43">
        <v>382</v>
      </c>
      <c r="B145" s="44" t="s">
        <v>35</v>
      </c>
      <c r="C145" s="43">
        <v>200</v>
      </c>
      <c r="D145" s="4">
        <f>20.39/10*2</f>
        <v>4.0780000000000003</v>
      </c>
      <c r="E145" s="4">
        <f>17.72/10*2</f>
        <v>3.5439999999999996</v>
      </c>
      <c r="F145" s="4">
        <f>87.89/10*2</f>
        <v>17.577999999999999</v>
      </c>
      <c r="G145" s="4">
        <f>593/10*2</f>
        <v>118.6</v>
      </c>
      <c r="H145" s="4">
        <f>0.28/10*2</f>
        <v>5.6000000000000008E-2</v>
      </c>
      <c r="I145" s="4">
        <f>7.94/10*2</f>
        <v>1.5880000000000001</v>
      </c>
      <c r="J145" s="4">
        <f>122/10*2</f>
        <v>24.4</v>
      </c>
      <c r="K145" s="4"/>
      <c r="L145" s="4">
        <f>761.1/10*2</f>
        <v>152.22</v>
      </c>
      <c r="M145" s="4">
        <f>622.8/10*2</f>
        <v>124.55999999999999</v>
      </c>
      <c r="N145" s="4">
        <f>106.7/10*2</f>
        <v>21.34</v>
      </c>
      <c r="O145" s="4">
        <f>2.39/10*2</f>
        <v>0.47800000000000004</v>
      </c>
    </row>
    <row r="146" spans="1:15" s="45" customFormat="1" ht="15">
      <c r="A146" s="14"/>
      <c r="B146" s="44" t="s">
        <v>49</v>
      </c>
      <c r="C146" s="43">
        <v>40</v>
      </c>
      <c r="D146" s="4">
        <v>3.16</v>
      </c>
      <c r="E146" s="4">
        <v>0.4</v>
      </c>
      <c r="F146" s="4">
        <v>19.32</v>
      </c>
      <c r="G146" s="4">
        <v>93.52</v>
      </c>
      <c r="H146" s="4">
        <v>0.04</v>
      </c>
      <c r="I146" s="4"/>
      <c r="J146" s="4"/>
      <c r="K146" s="4">
        <v>0.52</v>
      </c>
      <c r="L146" s="4">
        <v>9.1999999999999993</v>
      </c>
      <c r="M146" s="4">
        <v>34.799999999999997</v>
      </c>
      <c r="N146" s="4">
        <v>13.2</v>
      </c>
      <c r="O146" s="4">
        <v>0.44</v>
      </c>
    </row>
    <row r="147" spans="1:15" s="9" customFormat="1" ht="16.149999999999999" customHeight="1">
      <c r="A147" s="27" t="s">
        <v>11</v>
      </c>
      <c r="B147" s="27"/>
      <c r="C147" s="27"/>
      <c r="D147" s="74">
        <f>SUM(D141:D146)</f>
        <v>19.977999999999998</v>
      </c>
      <c r="E147" s="74">
        <f>SUM(E141:E146)</f>
        <v>25.883999999999997</v>
      </c>
      <c r="F147" s="74">
        <f>SUM(F141:F146)</f>
        <v>103.30799999999999</v>
      </c>
      <c r="G147" s="74">
        <f>SUM(G141:G146)</f>
        <v>685.12</v>
      </c>
      <c r="H147" s="46"/>
      <c r="I147" s="46"/>
      <c r="J147" s="46"/>
      <c r="K147" s="46"/>
      <c r="L147" s="46"/>
      <c r="M147" s="46"/>
      <c r="N147" s="46"/>
      <c r="O147" s="46"/>
    </row>
    <row r="148" spans="1:15" s="9" customFormat="1" ht="26.25" customHeight="1">
      <c r="A148" s="153" t="s">
        <v>19</v>
      </c>
      <c r="B148" s="153"/>
      <c r="C148" s="153"/>
      <c r="D148" s="153"/>
      <c r="E148" s="153"/>
      <c r="F148" s="153"/>
      <c r="G148" s="153"/>
      <c r="H148" s="153"/>
      <c r="I148" s="153"/>
      <c r="J148" s="153"/>
      <c r="K148" s="153"/>
      <c r="L148" s="153"/>
      <c r="M148" s="153"/>
      <c r="N148" s="153"/>
      <c r="O148" s="154"/>
    </row>
    <row r="149" spans="1:15" s="39" customFormat="1" ht="25.5">
      <c r="A149" s="47">
        <v>131</v>
      </c>
      <c r="B149" s="11" t="s">
        <v>82</v>
      </c>
      <c r="C149" s="47">
        <v>25</v>
      </c>
      <c r="D149" s="38">
        <v>0.81</v>
      </c>
      <c r="E149" s="38">
        <v>0.93</v>
      </c>
      <c r="F149" s="38">
        <v>1.5</v>
      </c>
      <c r="G149" s="38">
        <v>17.75</v>
      </c>
      <c r="H149" s="38">
        <v>0.02</v>
      </c>
      <c r="I149" s="38">
        <v>2.73</v>
      </c>
      <c r="J149" s="38">
        <v>4.76</v>
      </c>
      <c r="K149" s="38">
        <v>0.06</v>
      </c>
      <c r="L149" s="38">
        <v>6.67</v>
      </c>
      <c r="M149" s="38">
        <v>16.46</v>
      </c>
      <c r="N149" s="38">
        <v>5.66</v>
      </c>
      <c r="O149" s="38">
        <v>0.2</v>
      </c>
    </row>
    <row r="150" spans="1:15" s="45" customFormat="1" ht="38.25">
      <c r="A150" s="43">
        <v>88</v>
      </c>
      <c r="B150" s="44" t="s">
        <v>55</v>
      </c>
      <c r="C150" s="43">
        <v>250</v>
      </c>
      <c r="D150" s="4">
        <f>(7.06/4)+0.8</f>
        <v>2.5649999999999999</v>
      </c>
      <c r="E150" s="4">
        <f>(19.8/4)+0.2</f>
        <v>5.15</v>
      </c>
      <c r="F150" s="4">
        <f>31.61/4</f>
        <v>7.9024999999999999</v>
      </c>
      <c r="G150" s="4">
        <f>(359/4)+5+30</f>
        <v>124.75</v>
      </c>
      <c r="H150" s="4">
        <f>0.23/4</f>
        <v>5.7500000000000002E-2</v>
      </c>
      <c r="I150" s="4">
        <f>63.1/4</f>
        <v>15.775</v>
      </c>
      <c r="J150" s="4"/>
      <c r="K150" s="4">
        <f>9.4/4</f>
        <v>2.35</v>
      </c>
      <c r="L150" s="4">
        <f>(197/4)+2</f>
        <v>51.25</v>
      </c>
      <c r="M150" s="4">
        <f>196/4</f>
        <v>49</v>
      </c>
      <c r="N150" s="4">
        <f>88.5/4</f>
        <v>22.125</v>
      </c>
      <c r="O150" s="4">
        <f>3.3/4</f>
        <v>0.82499999999999996</v>
      </c>
    </row>
    <row r="151" spans="1:15" s="8" customFormat="1">
      <c r="A151" s="43">
        <v>309</v>
      </c>
      <c r="B151" s="44" t="s">
        <v>12</v>
      </c>
      <c r="C151" s="43">
        <v>150</v>
      </c>
      <c r="D151" s="4">
        <f>36.78/100*15</f>
        <v>5.5170000000000003</v>
      </c>
      <c r="E151" s="4">
        <f>30.1/100*15</f>
        <v>4.5149999999999997</v>
      </c>
      <c r="F151" s="4">
        <f>176.3/100*15</f>
        <v>26.445</v>
      </c>
      <c r="G151" s="4">
        <f>1123/100*15</f>
        <v>168.45000000000002</v>
      </c>
      <c r="H151" s="4">
        <f>0.37/100*15</f>
        <v>5.5500000000000001E-2</v>
      </c>
      <c r="I151" s="4"/>
      <c r="J151" s="4"/>
      <c r="K151" s="4">
        <f>6.46/100*15</f>
        <v>0.96900000000000008</v>
      </c>
      <c r="L151" s="4">
        <f>32.4/100*15</f>
        <v>4.8600000000000003</v>
      </c>
      <c r="M151" s="4">
        <f>247.8/100*15</f>
        <v>37.17</v>
      </c>
      <c r="N151" s="4">
        <f>140.8/100*15</f>
        <v>21.12</v>
      </c>
      <c r="O151" s="4">
        <f>7.37/100*15</f>
        <v>1.1054999999999999</v>
      </c>
    </row>
    <row r="152" spans="1:15" s="45" customFormat="1" ht="15">
      <c r="A152" s="43">
        <v>246</v>
      </c>
      <c r="B152" s="44" t="s">
        <v>83</v>
      </c>
      <c r="C152" s="43">
        <v>100</v>
      </c>
      <c r="D152" s="4">
        <v>13.36</v>
      </c>
      <c r="E152" s="4">
        <v>14.08</v>
      </c>
      <c r="F152" s="4">
        <v>0.85</v>
      </c>
      <c r="G152" s="4">
        <v>164</v>
      </c>
      <c r="H152" s="4">
        <v>0.01</v>
      </c>
      <c r="I152" s="4">
        <v>1.2</v>
      </c>
      <c r="J152" s="4"/>
      <c r="K152" s="4"/>
      <c r="L152" s="4">
        <v>23.6</v>
      </c>
      <c r="M152" s="4">
        <v>117.03</v>
      </c>
      <c r="N152" s="4">
        <v>20.27</v>
      </c>
      <c r="O152" s="4">
        <v>2</v>
      </c>
    </row>
    <row r="153" spans="1:15" s="45" customFormat="1" ht="15">
      <c r="A153" s="43">
        <v>389</v>
      </c>
      <c r="B153" s="44" t="s">
        <v>76</v>
      </c>
      <c r="C153" s="23">
        <v>200</v>
      </c>
      <c r="D153" s="24">
        <f>1</f>
        <v>1</v>
      </c>
      <c r="E153" s="23">
        <v>0</v>
      </c>
      <c r="F153" s="24">
        <f>101/5</f>
        <v>20.2</v>
      </c>
      <c r="G153" s="23">
        <f>424/5</f>
        <v>84.8</v>
      </c>
      <c r="H153" s="24">
        <f>0.11/5</f>
        <v>2.1999999999999999E-2</v>
      </c>
      <c r="I153" s="23">
        <f>30/5</f>
        <v>6</v>
      </c>
      <c r="J153" s="24">
        <v>0</v>
      </c>
      <c r="K153" s="23">
        <f>1/5</f>
        <v>0.2</v>
      </c>
      <c r="L153" s="24">
        <f>70/5</f>
        <v>14</v>
      </c>
      <c r="M153" s="23">
        <f>70/5</f>
        <v>14</v>
      </c>
      <c r="N153" s="24">
        <f>40/5</f>
        <v>8</v>
      </c>
      <c r="O153" s="25">
        <f>14/5</f>
        <v>2.8</v>
      </c>
    </row>
    <row r="154" spans="1:15" s="45" customFormat="1" ht="15">
      <c r="A154" s="14"/>
      <c r="B154" s="44" t="s">
        <v>14</v>
      </c>
      <c r="C154" s="43">
        <v>40</v>
      </c>
      <c r="D154" s="4">
        <v>2.2400000000000002</v>
      </c>
      <c r="E154" s="4">
        <v>0.88</v>
      </c>
      <c r="F154" s="4">
        <v>19.760000000000002</v>
      </c>
      <c r="G154" s="4">
        <v>91.96</v>
      </c>
      <c r="H154" s="4">
        <v>0.04</v>
      </c>
      <c r="I154" s="4"/>
      <c r="J154" s="4"/>
      <c r="K154" s="4">
        <v>0.36</v>
      </c>
      <c r="L154" s="4">
        <v>9.1999999999999993</v>
      </c>
      <c r="M154" s="4">
        <v>42.4</v>
      </c>
      <c r="N154" s="4">
        <v>10</v>
      </c>
      <c r="O154" s="4">
        <v>1.24</v>
      </c>
    </row>
    <row r="155" spans="1:15" s="45" customFormat="1" ht="15">
      <c r="A155" s="14"/>
      <c r="B155" s="44" t="s">
        <v>49</v>
      </c>
      <c r="C155" s="43">
        <v>40</v>
      </c>
      <c r="D155" s="4">
        <v>3.16</v>
      </c>
      <c r="E155" s="4">
        <v>0.4</v>
      </c>
      <c r="F155" s="4">
        <v>19.32</v>
      </c>
      <c r="G155" s="4">
        <v>93.52</v>
      </c>
      <c r="H155" s="4">
        <v>0.04</v>
      </c>
      <c r="I155" s="4"/>
      <c r="J155" s="4"/>
      <c r="K155" s="4">
        <v>0.52</v>
      </c>
      <c r="L155" s="4">
        <v>9.1999999999999993</v>
      </c>
      <c r="M155" s="4">
        <v>34.799999999999997</v>
      </c>
      <c r="N155" s="4">
        <v>13.2</v>
      </c>
      <c r="O155" s="4">
        <v>0.44</v>
      </c>
    </row>
    <row r="156" spans="1:15" s="9" customFormat="1" ht="15.75" customHeight="1">
      <c r="A156" s="27" t="s">
        <v>11</v>
      </c>
      <c r="B156" s="27"/>
      <c r="C156" s="27"/>
      <c r="D156" s="74">
        <f t="shared" ref="D156:F156" si="10">SUM(D149:D155)</f>
        <v>28.651999999999997</v>
      </c>
      <c r="E156" s="74">
        <f t="shared" si="10"/>
        <v>25.954999999999995</v>
      </c>
      <c r="F156" s="74">
        <f t="shared" si="10"/>
        <v>95.977499999999992</v>
      </c>
      <c r="G156" s="74">
        <f>SUM(G149:G155)</f>
        <v>745.23</v>
      </c>
      <c r="H156" s="74"/>
      <c r="I156" s="74"/>
      <c r="J156" s="74"/>
      <c r="K156" s="74"/>
      <c r="L156" s="74"/>
      <c r="M156" s="74"/>
      <c r="N156" s="74"/>
      <c r="O156" s="74"/>
    </row>
    <row r="157" spans="1:15" s="1" customFormat="1" ht="15.75">
      <c r="A157" s="48" t="s">
        <v>27</v>
      </c>
      <c r="B157" s="40" t="s">
        <v>36</v>
      </c>
    </row>
    <row r="158" spans="1:15" s="1" customFormat="1" ht="15.75">
      <c r="A158" s="48" t="s">
        <v>29</v>
      </c>
      <c r="B158" s="40" t="s">
        <v>48</v>
      </c>
    </row>
    <row r="159" spans="1:15" s="1" customFormat="1" ht="15.75">
      <c r="A159" s="48" t="s">
        <v>31</v>
      </c>
      <c r="B159" s="6" t="s">
        <v>78</v>
      </c>
    </row>
    <row r="160" spans="1:15" s="1" customFormat="1" ht="31.5">
      <c r="A160" s="48" t="s">
        <v>32</v>
      </c>
      <c r="B160" s="40" t="s">
        <v>33</v>
      </c>
    </row>
    <row r="161" spans="1:19" s="1" customFormat="1" ht="15.75">
      <c r="A161" s="126" t="s">
        <v>21</v>
      </c>
      <c r="B161" s="126" t="s">
        <v>18</v>
      </c>
      <c r="C161" s="126" t="s">
        <v>20</v>
      </c>
      <c r="D161" s="117" t="s">
        <v>24</v>
      </c>
      <c r="E161" s="118"/>
      <c r="F161" s="119"/>
      <c r="G161" s="126" t="s">
        <v>0</v>
      </c>
      <c r="H161" s="117" t="s">
        <v>23</v>
      </c>
      <c r="I161" s="118"/>
      <c r="J161" s="118"/>
      <c r="K161" s="119"/>
      <c r="L161" s="117" t="s">
        <v>22</v>
      </c>
      <c r="M161" s="118"/>
      <c r="N161" s="118"/>
      <c r="O161" s="119"/>
    </row>
    <row r="162" spans="1:19" s="1" customFormat="1" ht="15.75">
      <c r="A162" s="127"/>
      <c r="B162" s="128"/>
      <c r="C162" s="155"/>
      <c r="D162" s="50" t="s">
        <v>1</v>
      </c>
      <c r="E162" s="50" t="s">
        <v>2</v>
      </c>
      <c r="F162" s="50" t="s">
        <v>3</v>
      </c>
      <c r="G162" s="127"/>
      <c r="H162" s="50" t="s">
        <v>63</v>
      </c>
      <c r="I162" s="50" t="s">
        <v>4</v>
      </c>
      <c r="J162" s="50" t="s">
        <v>5</v>
      </c>
      <c r="K162" s="50" t="s">
        <v>6</v>
      </c>
      <c r="L162" s="50" t="s">
        <v>7</v>
      </c>
      <c r="M162" s="50" t="s">
        <v>8</v>
      </c>
      <c r="N162" s="50" t="s">
        <v>9</v>
      </c>
      <c r="O162" s="50" t="s">
        <v>10</v>
      </c>
    </row>
    <row r="163" spans="1:19" s="3" customFormat="1" ht="16.149999999999999" customHeight="1">
      <c r="A163" s="156" t="s">
        <v>25</v>
      </c>
      <c r="B163" s="137"/>
      <c r="C163" s="137"/>
      <c r="D163" s="137"/>
      <c r="E163" s="137"/>
      <c r="F163" s="137"/>
      <c r="G163" s="137"/>
      <c r="H163" s="137"/>
      <c r="I163" s="137"/>
      <c r="J163" s="137"/>
      <c r="K163" s="137"/>
      <c r="L163" s="137"/>
      <c r="M163" s="137"/>
      <c r="N163" s="137"/>
      <c r="O163" s="157"/>
    </row>
    <row r="164" spans="1:19" s="45" customFormat="1" ht="24">
      <c r="A164" s="43">
        <v>182</v>
      </c>
      <c r="B164" s="77" t="s">
        <v>64</v>
      </c>
      <c r="C164" s="43" t="s">
        <v>62</v>
      </c>
      <c r="D164" s="4">
        <v>7.51</v>
      </c>
      <c r="E164" s="4">
        <v>11.72</v>
      </c>
      <c r="F164" s="4">
        <v>37.049999999999997</v>
      </c>
      <c r="G164" s="4">
        <v>285</v>
      </c>
      <c r="H164" s="4">
        <v>0.19</v>
      </c>
      <c r="I164" s="4">
        <v>1.17</v>
      </c>
      <c r="J164" s="4">
        <v>58</v>
      </c>
      <c r="K164" s="4">
        <v>0.21</v>
      </c>
      <c r="L164" s="4">
        <v>138.1</v>
      </c>
      <c r="M164" s="4">
        <v>184.37</v>
      </c>
      <c r="N164" s="4">
        <v>47.6</v>
      </c>
      <c r="O164" s="4">
        <v>1.23</v>
      </c>
    </row>
    <row r="165" spans="1:19" s="45" customFormat="1" ht="15">
      <c r="A165" s="43">
        <v>209</v>
      </c>
      <c r="B165" s="44" t="s">
        <v>46</v>
      </c>
      <c r="C165" s="43">
        <v>40</v>
      </c>
      <c r="D165" s="4">
        <v>5.08</v>
      </c>
      <c r="E165" s="4">
        <v>4.5999999999999996</v>
      </c>
      <c r="F165" s="4">
        <v>0.28000000000000003</v>
      </c>
      <c r="G165" s="4">
        <v>63</v>
      </c>
      <c r="H165" s="4">
        <v>0.03</v>
      </c>
      <c r="I165" s="4"/>
      <c r="J165" s="4">
        <v>100</v>
      </c>
      <c r="K165" s="4">
        <v>0.24</v>
      </c>
      <c r="L165" s="4">
        <v>22</v>
      </c>
      <c r="M165" s="4">
        <v>76.8</v>
      </c>
      <c r="N165" s="4">
        <v>4.8</v>
      </c>
      <c r="O165" s="4">
        <v>1</v>
      </c>
    </row>
    <row r="166" spans="1:19" s="45" customFormat="1" ht="15">
      <c r="A166" s="99">
        <v>2</v>
      </c>
      <c r="B166" s="44" t="s">
        <v>66</v>
      </c>
      <c r="C166" s="20">
        <v>60</v>
      </c>
      <c r="D166" s="26">
        <v>3.7</v>
      </c>
      <c r="E166" s="26">
        <v>8.5</v>
      </c>
      <c r="F166" s="26">
        <v>26.25</v>
      </c>
      <c r="G166" s="26">
        <v>155</v>
      </c>
      <c r="H166" s="26">
        <v>3.4000000000000002E-2</v>
      </c>
      <c r="I166" s="26"/>
      <c r="J166" s="26">
        <v>0.13</v>
      </c>
      <c r="K166" s="26">
        <v>0.44</v>
      </c>
      <c r="L166" s="26">
        <v>8.4</v>
      </c>
      <c r="M166" s="26">
        <v>22.5</v>
      </c>
      <c r="N166" s="26">
        <v>4.2</v>
      </c>
      <c r="O166" s="26">
        <v>0.35</v>
      </c>
      <c r="P166" s="52"/>
      <c r="Q166" s="52"/>
      <c r="R166" s="52"/>
      <c r="S166" s="52"/>
    </row>
    <row r="167" spans="1:19" s="9" customFormat="1" ht="15">
      <c r="A167" s="100"/>
      <c r="B167" s="14" t="s">
        <v>67</v>
      </c>
      <c r="C167" s="20">
        <v>50</v>
      </c>
      <c r="D167" s="131"/>
      <c r="E167" s="132"/>
      <c r="F167" s="132"/>
      <c r="G167" s="132"/>
      <c r="H167" s="132"/>
      <c r="I167" s="132"/>
      <c r="J167" s="132"/>
      <c r="K167" s="132"/>
      <c r="L167" s="132"/>
      <c r="M167" s="132"/>
      <c r="N167" s="132"/>
      <c r="O167" s="133"/>
      <c r="P167" s="19"/>
      <c r="Q167" s="19"/>
      <c r="R167" s="15"/>
      <c r="S167" s="15"/>
    </row>
    <row r="168" spans="1:19" ht="15">
      <c r="A168" s="122"/>
      <c r="B168" s="13" t="s">
        <v>50</v>
      </c>
      <c r="C168" s="20">
        <v>10</v>
      </c>
      <c r="D168" s="134"/>
      <c r="E168" s="135"/>
      <c r="F168" s="135"/>
      <c r="G168" s="135"/>
      <c r="H168" s="135"/>
      <c r="I168" s="135"/>
      <c r="J168" s="135"/>
      <c r="K168" s="135"/>
      <c r="L168" s="135"/>
      <c r="M168" s="135"/>
      <c r="N168" s="135"/>
      <c r="O168" s="136"/>
      <c r="P168" s="19"/>
      <c r="Q168" s="19"/>
      <c r="R168" s="53"/>
      <c r="S168" s="53"/>
    </row>
    <row r="169" spans="1:19" s="45" customFormat="1" ht="15">
      <c r="A169" s="72">
        <v>375</v>
      </c>
      <c r="B169" s="44" t="s">
        <v>74</v>
      </c>
      <c r="C169" s="43">
        <v>200</v>
      </c>
      <c r="D169" s="4">
        <f>2/5</f>
        <v>0.4</v>
      </c>
      <c r="E169" s="4">
        <f>0.51/5</f>
        <v>0.10200000000000001</v>
      </c>
      <c r="F169" s="4">
        <f>0.4/5</f>
        <v>0.08</v>
      </c>
      <c r="G169" s="4">
        <f>32/5</f>
        <v>6.4</v>
      </c>
      <c r="H169" s="4">
        <f>0.01/5</f>
        <v>2E-3</v>
      </c>
      <c r="I169" s="4">
        <f>1/5</f>
        <v>0.2</v>
      </c>
      <c r="J169" s="4">
        <f>0</f>
        <v>0</v>
      </c>
      <c r="K169" s="4">
        <f>0</f>
        <v>0</v>
      </c>
      <c r="L169" s="4">
        <f>98.1/5</f>
        <v>19.619999999999997</v>
      </c>
      <c r="M169" s="4">
        <f>82.4/5</f>
        <v>16.48</v>
      </c>
      <c r="N169" s="4">
        <f>44/5</f>
        <v>8.8000000000000007</v>
      </c>
      <c r="O169" s="4">
        <f>8.2/5</f>
        <v>1.64</v>
      </c>
    </row>
    <row r="170" spans="1:19" s="9" customFormat="1" ht="16.149999999999999" customHeight="1">
      <c r="A170" s="27" t="s">
        <v>11</v>
      </c>
      <c r="B170" s="27"/>
      <c r="C170" s="27"/>
      <c r="D170" s="74">
        <f>SUM(D164:D169)</f>
        <v>16.689999999999998</v>
      </c>
      <c r="E170" s="74">
        <f t="shared" ref="E170:G170" si="11">SUM(E164:E169)</f>
        <v>24.922000000000001</v>
      </c>
      <c r="F170" s="74">
        <f t="shared" si="11"/>
        <v>63.66</v>
      </c>
      <c r="G170" s="74">
        <f t="shared" si="11"/>
        <v>509.4</v>
      </c>
      <c r="H170" s="74"/>
      <c r="I170" s="74"/>
      <c r="J170" s="74"/>
      <c r="K170" s="74"/>
      <c r="L170" s="74"/>
      <c r="M170" s="74"/>
      <c r="N170" s="74"/>
      <c r="O170" s="74"/>
      <c r="P170" s="15"/>
      <c r="Q170" s="15"/>
    </row>
    <row r="171" spans="1:19" s="9" customFormat="1" ht="16.149999999999999" customHeight="1">
      <c r="A171" s="145" t="s">
        <v>19</v>
      </c>
      <c r="B171" s="145"/>
      <c r="C171" s="145"/>
      <c r="D171" s="145"/>
      <c r="E171" s="145"/>
      <c r="F171" s="145"/>
      <c r="G171" s="145"/>
      <c r="H171" s="145"/>
      <c r="I171" s="145"/>
      <c r="J171" s="145"/>
      <c r="K171" s="145"/>
      <c r="L171" s="145"/>
      <c r="M171" s="145"/>
      <c r="N171" s="145"/>
      <c r="O171" s="145"/>
      <c r="P171" s="15"/>
      <c r="Q171" s="15"/>
    </row>
    <row r="172" spans="1:19" s="45" customFormat="1" ht="25.5">
      <c r="A172" s="43">
        <v>45</v>
      </c>
      <c r="B172" s="44" t="s">
        <v>43</v>
      </c>
      <c r="C172" s="43">
        <v>100</v>
      </c>
      <c r="D172" s="4">
        <f>13.12/10</f>
        <v>1.3119999999999998</v>
      </c>
      <c r="E172" s="4">
        <f>32.49/10</f>
        <v>3.2490000000000001</v>
      </c>
      <c r="F172" s="4">
        <f>6.5</f>
        <v>6.5</v>
      </c>
      <c r="G172" s="4">
        <v>60.4</v>
      </c>
      <c r="H172" s="4">
        <v>0.02</v>
      </c>
      <c r="I172" s="4">
        <v>17.010000000000002</v>
      </c>
      <c r="J172" s="4"/>
      <c r="K172" s="4">
        <v>8.39</v>
      </c>
      <c r="L172" s="4">
        <v>24.97</v>
      </c>
      <c r="M172" s="4">
        <v>28.3</v>
      </c>
      <c r="N172" s="4">
        <v>15.09</v>
      </c>
      <c r="O172" s="4">
        <v>0.47</v>
      </c>
    </row>
    <row r="173" spans="1:19" s="45" customFormat="1" ht="25.5">
      <c r="A173" s="43">
        <v>82</v>
      </c>
      <c r="B173" s="44" t="s">
        <v>52</v>
      </c>
      <c r="C173" s="43">
        <v>250</v>
      </c>
      <c r="D173" s="4">
        <f>(7.21/4)+0.8</f>
        <v>2.6025</v>
      </c>
      <c r="E173" s="4">
        <f>(19.68/4)+0.2</f>
        <v>5.12</v>
      </c>
      <c r="F173" s="4">
        <f>43.73/4</f>
        <v>10.932499999999999</v>
      </c>
      <c r="G173" s="4">
        <f>(415/4)+5+30</f>
        <v>138.75</v>
      </c>
      <c r="H173" s="4">
        <f>0.2/4</f>
        <v>0.05</v>
      </c>
      <c r="I173" s="4">
        <f>42.7/4</f>
        <v>10.675000000000001</v>
      </c>
      <c r="J173" s="4"/>
      <c r="K173" s="4">
        <f>9.6/4</f>
        <v>2.4</v>
      </c>
      <c r="L173" s="4">
        <f>(198.9/4)+2</f>
        <v>51.725000000000001</v>
      </c>
      <c r="M173" s="4">
        <f>218.4/4</f>
        <v>54.6</v>
      </c>
      <c r="N173" s="4">
        <f>104.5/4</f>
        <v>26.125</v>
      </c>
      <c r="O173" s="4">
        <f>4.9/4</f>
        <v>1.2250000000000001</v>
      </c>
    </row>
    <row r="174" spans="1:19" s="45" customFormat="1" ht="15">
      <c r="A174" s="43">
        <v>302</v>
      </c>
      <c r="B174" s="44" t="s">
        <v>17</v>
      </c>
      <c r="C174" s="43">
        <v>150</v>
      </c>
      <c r="D174" s="4">
        <f>57.32/100*15</f>
        <v>8.5980000000000008</v>
      </c>
      <c r="E174" s="4">
        <f>40.62/100*15</f>
        <v>6.0929999999999991</v>
      </c>
      <c r="F174" s="4">
        <f>257.61/100*15</f>
        <v>38.641500000000008</v>
      </c>
      <c r="G174" s="4">
        <f>1625/100*15</f>
        <v>243.75</v>
      </c>
      <c r="H174" s="4">
        <f>1.39/100*15</f>
        <v>0.20849999999999999</v>
      </c>
      <c r="I174" s="4"/>
      <c r="J174" s="4"/>
      <c r="K174" s="4">
        <f>4.05/100*15</f>
        <v>0.60750000000000004</v>
      </c>
      <c r="L174" s="4">
        <f>98.8/100*15</f>
        <v>14.82</v>
      </c>
      <c r="M174" s="4">
        <f>1359.5/100*15</f>
        <v>203.92500000000001</v>
      </c>
      <c r="N174" s="4">
        <f>905.5/100*15</f>
        <v>135.82499999999999</v>
      </c>
      <c r="O174" s="4">
        <f>30.4/100*15</f>
        <v>4.5599999999999996</v>
      </c>
    </row>
    <row r="175" spans="1:19" s="45" customFormat="1" ht="25.5">
      <c r="A175" s="43">
        <v>288</v>
      </c>
      <c r="B175" s="44" t="s">
        <v>60</v>
      </c>
      <c r="C175" s="43">
        <v>110</v>
      </c>
      <c r="D175" s="4">
        <f>11.73*2</f>
        <v>23.46</v>
      </c>
      <c r="E175" s="4">
        <f>12.91*2</f>
        <v>25.82</v>
      </c>
      <c r="F175" s="4">
        <f>0.25*2</f>
        <v>0.5</v>
      </c>
      <c r="G175" s="4">
        <f>164*2</f>
        <v>328</v>
      </c>
      <c r="H175" s="4">
        <f>0.02*2</f>
        <v>0.04</v>
      </c>
      <c r="I175" s="4">
        <f>11.75*2</f>
        <v>23.5</v>
      </c>
      <c r="J175" s="4">
        <f>48.1*2</f>
        <v>96.2</v>
      </c>
      <c r="K175" s="4">
        <f>0.21*2</f>
        <v>0.42</v>
      </c>
      <c r="L175" s="4">
        <f>28*2</f>
        <v>56</v>
      </c>
      <c r="M175" s="4">
        <f>83.55*2</f>
        <v>167.1</v>
      </c>
      <c r="N175" s="4">
        <f>10.14*2</f>
        <v>20.28</v>
      </c>
      <c r="O175" s="4">
        <f>0.91*2</f>
        <v>1.82</v>
      </c>
    </row>
    <row r="176" spans="1:19" s="8" customFormat="1">
      <c r="A176" s="43">
        <v>348</v>
      </c>
      <c r="B176" s="44" t="s">
        <v>41</v>
      </c>
      <c r="C176" s="43">
        <v>200</v>
      </c>
      <c r="D176" s="4">
        <f>3.9/5</f>
        <v>0.78</v>
      </c>
      <c r="E176" s="4">
        <f>0.23/5</f>
        <v>4.5999999999999999E-2</v>
      </c>
      <c r="F176" s="4">
        <f>138.15/5</f>
        <v>27.630000000000003</v>
      </c>
      <c r="G176" s="4">
        <f>574/5</f>
        <v>114.8</v>
      </c>
      <c r="H176" s="4">
        <f>0.08/5</f>
        <v>1.6E-2</v>
      </c>
      <c r="I176" s="4">
        <f>3/5</f>
        <v>0.6</v>
      </c>
      <c r="J176" s="4"/>
      <c r="K176" s="4">
        <f>4.12/5</f>
        <v>0.82400000000000007</v>
      </c>
      <c r="L176" s="4">
        <f>161.6/5</f>
        <v>32.32</v>
      </c>
      <c r="M176" s="4">
        <f>109.5/5</f>
        <v>21.9</v>
      </c>
      <c r="N176" s="4">
        <f>87.8/5</f>
        <v>17.559999999999999</v>
      </c>
      <c r="O176" s="4">
        <f>2.4/5</f>
        <v>0.48</v>
      </c>
    </row>
    <row r="177" spans="1:19" s="45" customFormat="1" ht="15">
      <c r="A177" s="14"/>
      <c r="B177" s="44" t="s">
        <v>14</v>
      </c>
      <c r="C177" s="43">
        <v>40</v>
      </c>
      <c r="D177" s="4">
        <v>2.2400000000000002</v>
      </c>
      <c r="E177" s="4">
        <v>0.88</v>
      </c>
      <c r="F177" s="4">
        <v>19.760000000000002</v>
      </c>
      <c r="G177" s="4">
        <v>91.96</v>
      </c>
      <c r="H177" s="4">
        <v>0.04</v>
      </c>
      <c r="I177" s="4"/>
      <c r="J177" s="4"/>
      <c r="K177" s="4">
        <v>0.36</v>
      </c>
      <c r="L177" s="4">
        <v>9.1999999999999993</v>
      </c>
      <c r="M177" s="4">
        <v>42.4</v>
      </c>
      <c r="N177" s="4">
        <v>10</v>
      </c>
      <c r="O177" s="4">
        <v>1.24</v>
      </c>
    </row>
    <row r="178" spans="1:19" s="45" customFormat="1" ht="15">
      <c r="A178" s="14"/>
      <c r="B178" s="44" t="s">
        <v>49</v>
      </c>
      <c r="C178" s="43">
        <v>40</v>
      </c>
      <c r="D178" s="4">
        <v>3.16</v>
      </c>
      <c r="E178" s="4">
        <v>0.4</v>
      </c>
      <c r="F178" s="4">
        <v>19.32</v>
      </c>
      <c r="G178" s="4">
        <v>93.52</v>
      </c>
      <c r="H178" s="4">
        <v>0.04</v>
      </c>
      <c r="I178" s="4"/>
      <c r="J178" s="4"/>
      <c r="K178" s="4">
        <v>0.52</v>
      </c>
      <c r="L178" s="4">
        <v>9.1999999999999993</v>
      </c>
      <c r="M178" s="4">
        <v>34.799999999999997</v>
      </c>
      <c r="N178" s="4">
        <v>13.2</v>
      </c>
      <c r="O178" s="4">
        <v>0.44</v>
      </c>
    </row>
    <row r="179" spans="1:19" s="9" customFormat="1" ht="16.149999999999999" customHeight="1">
      <c r="A179" s="27" t="s">
        <v>11</v>
      </c>
      <c r="B179" s="27"/>
      <c r="C179" s="27"/>
      <c r="D179" s="74">
        <f>SUM(D172:D178)</f>
        <v>42.152500000000003</v>
      </c>
      <c r="E179" s="74">
        <f t="shared" ref="E179:G179" si="12">SUM(E172:E178)</f>
        <v>41.607999999999997</v>
      </c>
      <c r="F179" s="74">
        <f t="shared" si="12"/>
        <v>123.28400000000002</v>
      </c>
      <c r="G179" s="74">
        <f t="shared" si="12"/>
        <v>1071.18</v>
      </c>
      <c r="H179" s="74"/>
      <c r="I179" s="74"/>
      <c r="J179" s="74"/>
      <c r="K179" s="74"/>
      <c r="L179" s="74"/>
      <c r="M179" s="74"/>
      <c r="N179" s="74"/>
      <c r="O179" s="74"/>
    </row>
    <row r="180" spans="1:19" s="1" customFormat="1" ht="15.75">
      <c r="A180" s="48" t="s">
        <v>27</v>
      </c>
      <c r="B180" s="40" t="s">
        <v>37</v>
      </c>
    </row>
    <row r="181" spans="1:19" s="1" customFormat="1" ht="15.75">
      <c r="A181" s="48" t="s">
        <v>29</v>
      </c>
      <c r="B181" s="40" t="s">
        <v>48</v>
      </c>
    </row>
    <row r="182" spans="1:19" s="1" customFormat="1" ht="15.75">
      <c r="A182" s="48" t="s">
        <v>31</v>
      </c>
      <c r="B182" s="6" t="s">
        <v>78</v>
      </c>
    </row>
    <row r="183" spans="1:19" s="1" customFormat="1" ht="31.5">
      <c r="A183" s="48" t="s">
        <v>32</v>
      </c>
      <c r="B183" s="40" t="s">
        <v>33</v>
      </c>
    </row>
    <row r="184" spans="1:19" s="1" customFormat="1" ht="15.75">
      <c r="A184" s="126" t="s">
        <v>21</v>
      </c>
      <c r="B184" s="126" t="s">
        <v>18</v>
      </c>
      <c r="C184" s="126" t="s">
        <v>20</v>
      </c>
      <c r="D184" s="117" t="s">
        <v>24</v>
      </c>
      <c r="E184" s="118"/>
      <c r="F184" s="119"/>
      <c r="G184" s="126" t="s">
        <v>0</v>
      </c>
      <c r="H184" s="117" t="s">
        <v>23</v>
      </c>
      <c r="I184" s="118"/>
      <c r="J184" s="118"/>
      <c r="K184" s="119"/>
      <c r="L184" s="117" t="s">
        <v>22</v>
      </c>
      <c r="M184" s="118"/>
      <c r="N184" s="118"/>
      <c r="O184" s="119"/>
    </row>
    <row r="185" spans="1:19" s="1" customFormat="1" ht="15.75">
      <c r="A185" s="127"/>
      <c r="B185" s="128"/>
      <c r="C185" s="155"/>
      <c r="D185" s="50" t="s">
        <v>1</v>
      </c>
      <c r="E185" s="50" t="s">
        <v>2</v>
      </c>
      <c r="F185" s="50" t="s">
        <v>3</v>
      </c>
      <c r="G185" s="127"/>
      <c r="H185" s="50" t="s">
        <v>63</v>
      </c>
      <c r="I185" s="50" t="s">
        <v>4</v>
      </c>
      <c r="J185" s="50" t="s">
        <v>5</v>
      </c>
      <c r="K185" s="50" t="s">
        <v>6</v>
      </c>
      <c r="L185" s="50" t="s">
        <v>7</v>
      </c>
      <c r="M185" s="50" t="s">
        <v>8</v>
      </c>
      <c r="N185" s="50" t="s">
        <v>9</v>
      </c>
      <c r="O185" s="50" t="s">
        <v>10</v>
      </c>
    </row>
    <row r="186" spans="1:19" s="3" customFormat="1" ht="16.149999999999999" customHeight="1">
      <c r="A186" s="121" t="s">
        <v>25</v>
      </c>
      <c r="B186" s="121"/>
      <c r="C186" s="121"/>
      <c r="D186" s="121"/>
      <c r="E186" s="121"/>
      <c r="F186" s="121"/>
      <c r="G186" s="121"/>
      <c r="H186" s="121"/>
      <c r="I186" s="121"/>
      <c r="J186" s="121"/>
      <c r="K186" s="121"/>
      <c r="L186" s="121"/>
      <c r="M186" s="121"/>
      <c r="N186" s="121"/>
      <c r="O186" s="121"/>
    </row>
    <row r="187" spans="1:19" s="45" customFormat="1" ht="25.5">
      <c r="A187" s="99">
        <v>186</v>
      </c>
      <c r="B187" s="44" t="s">
        <v>68</v>
      </c>
      <c r="C187" s="43">
        <v>120</v>
      </c>
      <c r="D187" s="4">
        <v>5.93</v>
      </c>
      <c r="E187" s="4">
        <v>5.46</v>
      </c>
      <c r="F187" s="4">
        <v>37.9</v>
      </c>
      <c r="G187" s="4">
        <v>225</v>
      </c>
      <c r="H187" s="4">
        <v>0.06</v>
      </c>
      <c r="I187" s="4">
        <v>0.21</v>
      </c>
      <c r="J187" s="4">
        <v>18.3</v>
      </c>
      <c r="K187" s="4">
        <v>0.95</v>
      </c>
      <c r="L187" s="4">
        <v>139.66999999999999</v>
      </c>
      <c r="M187" s="4">
        <v>124.86</v>
      </c>
      <c r="N187" s="4">
        <v>21.8</v>
      </c>
      <c r="O187" s="4">
        <v>0.65</v>
      </c>
    </row>
    <row r="188" spans="1:19" s="45" customFormat="1" ht="15">
      <c r="A188" s="122"/>
      <c r="B188" s="44" t="s">
        <v>69</v>
      </c>
      <c r="C188" s="43">
        <v>20</v>
      </c>
      <c r="D188" s="123"/>
      <c r="E188" s="124"/>
      <c r="F188" s="124"/>
      <c r="G188" s="124"/>
      <c r="H188" s="124"/>
      <c r="I188" s="124"/>
      <c r="J188" s="124"/>
      <c r="K188" s="124"/>
      <c r="L188" s="124"/>
      <c r="M188" s="124"/>
      <c r="N188" s="124"/>
      <c r="O188" s="125"/>
    </row>
    <row r="189" spans="1:19" s="45" customFormat="1" ht="15">
      <c r="A189" s="99">
        <v>2</v>
      </c>
      <c r="B189" s="44" t="s">
        <v>66</v>
      </c>
      <c r="C189" s="20">
        <v>60</v>
      </c>
      <c r="D189" s="26">
        <v>3.7</v>
      </c>
      <c r="E189" s="26">
        <v>8.5</v>
      </c>
      <c r="F189" s="26">
        <v>26.25</v>
      </c>
      <c r="G189" s="26">
        <v>155</v>
      </c>
      <c r="H189" s="26">
        <v>3.4000000000000002E-2</v>
      </c>
      <c r="I189" s="26"/>
      <c r="J189" s="26">
        <v>0.13</v>
      </c>
      <c r="K189" s="26">
        <v>0.44</v>
      </c>
      <c r="L189" s="26">
        <v>8.4</v>
      </c>
      <c r="M189" s="26">
        <v>22.5</v>
      </c>
      <c r="N189" s="26">
        <v>4.2</v>
      </c>
      <c r="O189" s="26">
        <v>0.35</v>
      </c>
      <c r="P189" s="52"/>
      <c r="Q189" s="52"/>
      <c r="R189" s="52"/>
      <c r="S189" s="52"/>
    </row>
    <row r="190" spans="1:19" s="9" customFormat="1" ht="15">
      <c r="A190" s="100"/>
      <c r="B190" s="14" t="s">
        <v>67</v>
      </c>
      <c r="C190" s="20">
        <v>50</v>
      </c>
      <c r="D190" s="131"/>
      <c r="E190" s="132"/>
      <c r="F190" s="132"/>
      <c r="G190" s="132"/>
      <c r="H190" s="132"/>
      <c r="I190" s="132"/>
      <c r="J190" s="132"/>
      <c r="K190" s="132"/>
      <c r="L190" s="132"/>
      <c r="M190" s="132"/>
      <c r="N190" s="132"/>
      <c r="O190" s="133"/>
      <c r="P190" s="19"/>
      <c r="Q190" s="19"/>
      <c r="R190" s="15"/>
      <c r="S190" s="15"/>
    </row>
    <row r="191" spans="1:19" ht="15">
      <c r="A191" s="122"/>
      <c r="B191" s="13" t="s">
        <v>50</v>
      </c>
      <c r="C191" s="20">
        <v>10</v>
      </c>
      <c r="D191" s="134"/>
      <c r="E191" s="135"/>
      <c r="F191" s="135"/>
      <c r="G191" s="135"/>
      <c r="H191" s="135"/>
      <c r="I191" s="135"/>
      <c r="J191" s="135"/>
      <c r="K191" s="135"/>
      <c r="L191" s="135"/>
      <c r="M191" s="135"/>
      <c r="N191" s="135"/>
      <c r="O191" s="136"/>
      <c r="P191" s="19"/>
      <c r="Q191" s="19"/>
      <c r="R191" s="53"/>
      <c r="S191" s="53"/>
    </row>
    <row r="192" spans="1:19" s="1" customFormat="1" ht="15">
      <c r="A192" s="62">
        <v>379</v>
      </c>
      <c r="B192" s="87" t="s">
        <v>54</v>
      </c>
      <c r="C192" s="62">
        <v>200</v>
      </c>
      <c r="D192" s="2">
        <f>15.83/5</f>
        <v>3.1659999999999999</v>
      </c>
      <c r="E192" s="2">
        <f>13.39/5</f>
        <v>2.6779999999999999</v>
      </c>
      <c r="F192" s="2">
        <f>79.73/5</f>
        <v>15.946000000000002</v>
      </c>
      <c r="G192" s="2">
        <f>503/5</f>
        <v>100.6</v>
      </c>
      <c r="H192" s="2">
        <f>0.22/5</f>
        <v>4.3999999999999997E-2</v>
      </c>
      <c r="I192" s="2">
        <f>6.5/5</f>
        <v>1.3</v>
      </c>
      <c r="J192" s="2">
        <f>100/5</f>
        <v>20</v>
      </c>
      <c r="K192" s="2"/>
      <c r="L192" s="2">
        <f>628.9/5</f>
        <v>125.78</v>
      </c>
      <c r="M192" s="2">
        <f>450/5</f>
        <v>90</v>
      </c>
      <c r="N192" s="2">
        <f>70/5</f>
        <v>14</v>
      </c>
      <c r="O192" s="2">
        <f>0.67/5</f>
        <v>0.13400000000000001</v>
      </c>
      <c r="P192" s="59"/>
      <c r="Q192" s="59"/>
      <c r="R192" s="59"/>
    </row>
    <row r="193" spans="1:18" s="9" customFormat="1" ht="16.149999999999999" customHeight="1">
      <c r="A193" s="27" t="s">
        <v>11</v>
      </c>
      <c r="B193" s="27"/>
      <c r="C193" s="27"/>
      <c r="D193" s="74">
        <f t="shared" ref="D193:F193" si="13">SUM(D187:D192)</f>
        <v>12.795999999999999</v>
      </c>
      <c r="E193" s="74">
        <f t="shared" si="13"/>
        <v>16.638000000000002</v>
      </c>
      <c r="F193" s="74">
        <f t="shared" si="13"/>
        <v>80.096000000000004</v>
      </c>
      <c r="G193" s="74">
        <f>SUM(G187:G192)</f>
        <v>480.6</v>
      </c>
      <c r="H193" s="74"/>
      <c r="I193" s="74"/>
      <c r="J193" s="74"/>
      <c r="K193" s="74"/>
      <c r="L193" s="74"/>
      <c r="M193" s="74"/>
      <c r="N193" s="74"/>
      <c r="O193" s="74"/>
      <c r="P193" s="15"/>
      <c r="Q193" s="15"/>
      <c r="R193" s="15"/>
    </row>
    <row r="194" spans="1:18" s="9" customFormat="1" ht="16.149999999999999" customHeight="1">
      <c r="A194" s="145" t="s">
        <v>26</v>
      </c>
      <c r="B194" s="145"/>
      <c r="C194" s="145"/>
      <c r="D194" s="145"/>
      <c r="E194" s="145"/>
      <c r="F194" s="145"/>
      <c r="G194" s="145"/>
      <c r="H194" s="145"/>
      <c r="I194" s="145"/>
      <c r="J194" s="145"/>
      <c r="K194" s="145"/>
      <c r="L194" s="145"/>
      <c r="M194" s="145"/>
      <c r="N194" s="145"/>
      <c r="O194" s="145"/>
    </row>
    <row r="195" spans="1:18" s="45" customFormat="1" ht="25.5">
      <c r="A195" s="43">
        <v>54</v>
      </c>
      <c r="B195" s="44" t="s">
        <v>47</v>
      </c>
      <c r="C195" s="43">
        <v>100</v>
      </c>
      <c r="D195" s="4">
        <f>1.9</f>
        <v>1.9</v>
      </c>
      <c r="E195" s="4">
        <v>6.08</v>
      </c>
      <c r="F195" s="4">
        <v>11.2</v>
      </c>
      <c r="G195" s="4">
        <v>103.9</v>
      </c>
      <c r="H195" s="4">
        <v>0.02</v>
      </c>
      <c r="I195" s="4">
        <v>6.44</v>
      </c>
      <c r="J195" s="4"/>
      <c r="K195" s="4">
        <v>10.6</v>
      </c>
      <c r="L195" s="4">
        <v>29.27</v>
      </c>
      <c r="M195" s="4">
        <v>31.8</v>
      </c>
      <c r="N195" s="4">
        <v>16.829999999999998</v>
      </c>
      <c r="O195" s="4">
        <v>1.48</v>
      </c>
    </row>
    <row r="196" spans="1:18" s="9" customFormat="1" ht="25.5">
      <c r="A196" s="43">
        <v>98</v>
      </c>
      <c r="B196" s="44" t="s">
        <v>81</v>
      </c>
      <c r="C196" s="43">
        <v>250</v>
      </c>
      <c r="D196" s="4">
        <f>5.93/4+0.8</f>
        <v>2.2824999999999998</v>
      </c>
      <c r="E196" s="4">
        <f>19.67/4+0.2</f>
        <v>5.1175000000000006</v>
      </c>
      <c r="F196" s="4">
        <f>24.36/4</f>
        <v>6.09</v>
      </c>
      <c r="G196" s="4">
        <f>305/4+5+30</f>
        <v>111.25</v>
      </c>
      <c r="H196" s="4">
        <f>0.17/4</f>
        <v>4.2500000000000003E-2</v>
      </c>
      <c r="I196" s="4">
        <f>39.5/4</f>
        <v>9.875</v>
      </c>
      <c r="J196" s="4"/>
      <c r="K196" s="4">
        <f>9.2/4</f>
        <v>2.2999999999999998</v>
      </c>
      <c r="L196" s="4">
        <f>143.5/4+2</f>
        <v>37.875</v>
      </c>
      <c r="M196" s="4">
        <f>134.3/4</f>
        <v>33.575000000000003</v>
      </c>
      <c r="N196" s="4">
        <f>56.7/4</f>
        <v>14.175000000000001</v>
      </c>
      <c r="O196" s="4">
        <f>2.3/4</f>
        <v>0.57499999999999996</v>
      </c>
    </row>
    <row r="197" spans="1:18" s="45" customFormat="1" ht="25.5">
      <c r="A197" s="43">
        <v>229</v>
      </c>
      <c r="B197" s="44" t="s">
        <v>45</v>
      </c>
      <c r="C197" s="51">
        <v>100</v>
      </c>
      <c r="D197" s="4">
        <v>9.75</v>
      </c>
      <c r="E197" s="4">
        <v>4.95</v>
      </c>
      <c r="F197" s="4">
        <v>3.8</v>
      </c>
      <c r="G197" s="4">
        <v>105</v>
      </c>
      <c r="H197" s="4">
        <v>0.05</v>
      </c>
      <c r="I197" s="4">
        <v>3.73</v>
      </c>
      <c r="J197" s="4">
        <v>5.82</v>
      </c>
      <c r="K197" s="4">
        <v>2.52</v>
      </c>
      <c r="L197" s="4">
        <v>39.07</v>
      </c>
      <c r="M197" s="4">
        <v>162.19</v>
      </c>
      <c r="N197" s="4">
        <v>48.53</v>
      </c>
      <c r="O197" s="4">
        <v>0.85</v>
      </c>
    </row>
    <row r="198" spans="1:18" s="45" customFormat="1" ht="15">
      <c r="A198" s="43">
        <v>139</v>
      </c>
      <c r="B198" s="44" t="s">
        <v>73</v>
      </c>
      <c r="C198" s="43">
        <v>150</v>
      </c>
      <c r="D198" s="4">
        <v>2.04</v>
      </c>
      <c r="E198" s="4">
        <v>3.68</v>
      </c>
      <c r="F198" s="4">
        <v>7.89</v>
      </c>
      <c r="G198" s="4">
        <v>77</v>
      </c>
      <c r="H198" s="4">
        <v>0.04</v>
      </c>
      <c r="I198" s="4">
        <v>17.079999999999998</v>
      </c>
      <c r="J198" s="4">
        <v>0</v>
      </c>
      <c r="K198" s="4">
        <v>1.95</v>
      </c>
      <c r="L198" s="4">
        <v>58.75</v>
      </c>
      <c r="M198" s="4">
        <v>40.69</v>
      </c>
      <c r="N198" s="4">
        <v>20.85</v>
      </c>
      <c r="O198" s="4">
        <v>0.83</v>
      </c>
    </row>
    <row r="199" spans="1:18" s="45" customFormat="1" ht="15">
      <c r="A199" s="14"/>
      <c r="B199" s="44" t="s">
        <v>14</v>
      </c>
      <c r="C199" s="43">
        <v>40</v>
      </c>
      <c r="D199" s="4">
        <v>2.2400000000000002</v>
      </c>
      <c r="E199" s="4">
        <v>0.88</v>
      </c>
      <c r="F199" s="4">
        <v>19.760000000000002</v>
      </c>
      <c r="G199" s="4">
        <v>91.96</v>
      </c>
      <c r="H199" s="4">
        <v>0.04</v>
      </c>
      <c r="I199" s="4"/>
      <c r="J199" s="4"/>
      <c r="K199" s="4">
        <v>0.36</v>
      </c>
      <c r="L199" s="4">
        <v>9.1999999999999993</v>
      </c>
      <c r="M199" s="4">
        <v>42.4</v>
      </c>
      <c r="N199" s="4">
        <v>10</v>
      </c>
      <c r="O199" s="4">
        <v>1.24</v>
      </c>
    </row>
    <row r="200" spans="1:18" s="45" customFormat="1" ht="15">
      <c r="A200" s="43">
        <v>389</v>
      </c>
      <c r="B200" s="44" t="s">
        <v>72</v>
      </c>
      <c r="C200" s="23">
        <v>200</v>
      </c>
      <c r="D200" s="24">
        <f>1</f>
        <v>1</v>
      </c>
      <c r="E200" s="23">
        <v>0</v>
      </c>
      <c r="F200" s="24">
        <f>101/5</f>
        <v>20.2</v>
      </c>
      <c r="G200" s="23">
        <f>424/5</f>
        <v>84.8</v>
      </c>
      <c r="H200" s="24">
        <f>0.11/5</f>
        <v>2.1999999999999999E-2</v>
      </c>
      <c r="I200" s="23">
        <f>30/5</f>
        <v>6</v>
      </c>
      <c r="J200" s="24">
        <v>0</v>
      </c>
      <c r="K200" s="23">
        <f>1/5</f>
        <v>0.2</v>
      </c>
      <c r="L200" s="24">
        <f>70/5</f>
        <v>14</v>
      </c>
      <c r="M200" s="23">
        <f>70/5</f>
        <v>14</v>
      </c>
      <c r="N200" s="24">
        <f>40/5</f>
        <v>8</v>
      </c>
      <c r="O200" s="25">
        <f>14/5</f>
        <v>2.8</v>
      </c>
    </row>
    <row r="201" spans="1:18" s="45" customFormat="1" ht="15">
      <c r="A201" s="14"/>
      <c r="B201" s="44" t="s">
        <v>49</v>
      </c>
      <c r="C201" s="43">
        <v>40</v>
      </c>
      <c r="D201" s="4">
        <v>3.16</v>
      </c>
      <c r="E201" s="4">
        <v>0.4</v>
      </c>
      <c r="F201" s="4">
        <v>19.32</v>
      </c>
      <c r="G201" s="4">
        <v>93.52</v>
      </c>
      <c r="H201" s="4">
        <v>0.04</v>
      </c>
      <c r="I201" s="4"/>
      <c r="J201" s="4"/>
      <c r="K201" s="4">
        <v>0.52</v>
      </c>
      <c r="L201" s="4">
        <v>9.1999999999999993</v>
      </c>
      <c r="M201" s="4">
        <v>34.799999999999997</v>
      </c>
      <c r="N201" s="4">
        <v>13.2</v>
      </c>
      <c r="O201" s="4">
        <v>0.44</v>
      </c>
    </row>
    <row r="202" spans="1:18" s="3" customFormat="1" ht="16.149999999999999" customHeight="1">
      <c r="A202" s="27" t="s">
        <v>11</v>
      </c>
      <c r="B202" s="27"/>
      <c r="C202" s="27"/>
      <c r="D202" s="74">
        <f t="shared" ref="D202:F202" si="14">SUM(D195:D201)</f>
        <v>22.372499999999999</v>
      </c>
      <c r="E202" s="74">
        <f t="shared" si="14"/>
        <v>21.107499999999998</v>
      </c>
      <c r="F202" s="74">
        <f t="shared" si="14"/>
        <v>88.259999999999991</v>
      </c>
      <c r="G202" s="74">
        <f>SUM(G195:G201)</f>
        <v>667.43</v>
      </c>
      <c r="H202" s="74"/>
      <c r="I202" s="74"/>
      <c r="J202" s="74"/>
      <c r="K202" s="74"/>
      <c r="L202" s="74"/>
      <c r="M202" s="74"/>
      <c r="N202" s="74"/>
      <c r="O202" s="74"/>
    </row>
    <row r="203" spans="1:18" s="1" customFormat="1" ht="15.75">
      <c r="A203" s="48" t="s">
        <v>27</v>
      </c>
      <c r="B203" s="40" t="s">
        <v>39</v>
      </c>
    </row>
    <row r="204" spans="1:18" s="1" customFormat="1" ht="22.5" customHeight="1">
      <c r="A204" s="48" t="s">
        <v>29</v>
      </c>
      <c r="B204" s="40" t="s">
        <v>48</v>
      </c>
    </row>
    <row r="205" spans="1:18" s="1" customFormat="1" ht="15.75">
      <c r="A205" s="48" t="s">
        <v>31</v>
      </c>
      <c r="B205" s="6" t="s">
        <v>78</v>
      </c>
    </row>
    <row r="206" spans="1:18" s="1" customFormat="1" ht="47.25" customHeight="1">
      <c r="A206" s="48" t="s">
        <v>32</v>
      </c>
      <c r="B206" s="40" t="s">
        <v>33</v>
      </c>
    </row>
    <row r="207" spans="1:18" s="1" customFormat="1" ht="15.75">
      <c r="A207" s="126" t="s">
        <v>21</v>
      </c>
      <c r="B207" s="126" t="s">
        <v>18</v>
      </c>
      <c r="C207" s="126" t="s">
        <v>20</v>
      </c>
      <c r="D207" s="117" t="s">
        <v>24</v>
      </c>
      <c r="E207" s="118"/>
      <c r="F207" s="119"/>
      <c r="G207" s="126" t="s">
        <v>0</v>
      </c>
      <c r="H207" s="117" t="s">
        <v>23</v>
      </c>
      <c r="I207" s="118"/>
      <c r="J207" s="118"/>
      <c r="K207" s="119"/>
      <c r="L207" s="117" t="s">
        <v>22</v>
      </c>
      <c r="M207" s="118"/>
      <c r="N207" s="118"/>
      <c r="O207" s="119"/>
    </row>
    <row r="208" spans="1:18" s="1" customFormat="1" ht="15.75">
      <c r="A208" s="127"/>
      <c r="B208" s="128"/>
      <c r="C208" s="155"/>
      <c r="D208" s="50" t="s">
        <v>1</v>
      </c>
      <c r="E208" s="50" t="s">
        <v>2</v>
      </c>
      <c r="F208" s="50" t="s">
        <v>3</v>
      </c>
      <c r="G208" s="127"/>
      <c r="H208" s="50" t="s">
        <v>63</v>
      </c>
      <c r="I208" s="50" t="s">
        <v>4</v>
      </c>
      <c r="J208" s="50" t="s">
        <v>5</v>
      </c>
      <c r="K208" s="50" t="s">
        <v>6</v>
      </c>
      <c r="L208" s="50" t="s">
        <v>7</v>
      </c>
      <c r="M208" s="50" t="s">
        <v>8</v>
      </c>
      <c r="N208" s="50" t="s">
        <v>9</v>
      </c>
      <c r="O208" s="50" t="s">
        <v>10</v>
      </c>
    </row>
    <row r="209" spans="1:27" s="3" customFormat="1" ht="16.149999999999999" customHeight="1">
      <c r="A209" s="22"/>
      <c r="B209" s="88"/>
      <c r="C209" s="88"/>
      <c r="D209" s="88"/>
      <c r="E209" s="88"/>
      <c r="F209" s="88"/>
      <c r="G209" s="88" t="s">
        <v>25</v>
      </c>
      <c r="H209" s="88"/>
      <c r="I209" s="88"/>
      <c r="J209" s="88"/>
      <c r="K209" s="88"/>
      <c r="L209" s="88"/>
      <c r="M209" s="88"/>
      <c r="N209" s="88"/>
      <c r="O209" s="88"/>
    </row>
    <row r="210" spans="1:27" s="3" customFormat="1" ht="25.5">
      <c r="A210" s="62">
        <v>182</v>
      </c>
      <c r="B210" s="44" t="s">
        <v>71</v>
      </c>
      <c r="C210" s="62">
        <v>220</v>
      </c>
      <c r="D210" s="30">
        <v>5.0999999999999996</v>
      </c>
      <c r="E210" s="30">
        <v>10.72</v>
      </c>
      <c r="F210" s="30">
        <v>33.42</v>
      </c>
      <c r="G210" s="31">
        <v>251</v>
      </c>
      <c r="H210" s="30">
        <v>0.06</v>
      </c>
      <c r="I210" s="30">
        <v>1.17</v>
      </c>
      <c r="J210" s="30">
        <v>58</v>
      </c>
      <c r="K210" s="30">
        <v>0.21</v>
      </c>
      <c r="L210" s="30">
        <v>130.09</v>
      </c>
      <c r="M210" s="30">
        <v>138.13999999999999</v>
      </c>
      <c r="N210" s="30">
        <v>30.12</v>
      </c>
      <c r="O210" s="30">
        <v>0.47</v>
      </c>
    </row>
    <row r="211" spans="1:27" s="45" customFormat="1" ht="15">
      <c r="A211" s="99">
        <v>2</v>
      </c>
      <c r="B211" s="44" t="s">
        <v>66</v>
      </c>
      <c r="C211" s="20">
        <v>60</v>
      </c>
      <c r="D211" s="21">
        <v>3.7</v>
      </c>
      <c r="E211" s="21">
        <v>8.5</v>
      </c>
      <c r="F211" s="21">
        <v>26.25</v>
      </c>
      <c r="G211" s="32">
        <v>155</v>
      </c>
      <c r="H211" s="21">
        <v>3.4000000000000002E-2</v>
      </c>
      <c r="I211" s="21"/>
      <c r="J211" s="21">
        <v>0.13</v>
      </c>
      <c r="K211" s="21">
        <v>0.44</v>
      </c>
      <c r="L211" s="21">
        <v>8.4</v>
      </c>
      <c r="M211" s="21">
        <v>22.5</v>
      </c>
      <c r="N211" s="21">
        <v>4.2</v>
      </c>
      <c r="O211" s="21">
        <v>0.35</v>
      </c>
      <c r="P211" s="52"/>
      <c r="Q211" s="52"/>
      <c r="R211" s="52"/>
      <c r="S211" s="52"/>
    </row>
    <row r="212" spans="1:27" s="9" customFormat="1" ht="15">
      <c r="A212" s="100"/>
      <c r="B212" s="14" t="s">
        <v>67</v>
      </c>
      <c r="C212" s="20">
        <v>50</v>
      </c>
      <c r="D212" s="131"/>
      <c r="E212" s="132"/>
      <c r="F212" s="132"/>
      <c r="G212" s="132"/>
      <c r="H212" s="132"/>
      <c r="I212" s="132"/>
      <c r="J212" s="132"/>
      <c r="K212" s="132"/>
      <c r="L212" s="132"/>
      <c r="M212" s="132"/>
      <c r="N212" s="132"/>
      <c r="O212" s="133"/>
      <c r="P212" s="19"/>
      <c r="Q212" s="19"/>
      <c r="R212" s="15"/>
      <c r="S212" s="15"/>
    </row>
    <row r="213" spans="1:27" ht="15">
      <c r="A213" s="122"/>
      <c r="B213" s="13" t="s">
        <v>50</v>
      </c>
      <c r="C213" s="20">
        <v>10</v>
      </c>
      <c r="D213" s="134"/>
      <c r="E213" s="135"/>
      <c r="F213" s="135"/>
      <c r="G213" s="135"/>
      <c r="H213" s="135"/>
      <c r="I213" s="135"/>
      <c r="J213" s="135"/>
      <c r="K213" s="135"/>
      <c r="L213" s="135"/>
      <c r="M213" s="135"/>
      <c r="N213" s="135"/>
      <c r="O213" s="136"/>
      <c r="P213" s="19"/>
      <c r="Q213" s="19"/>
      <c r="R213" s="53"/>
      <c r="S213" s="53"/>
    </row>
    <row r="214" spans="1:27" s="45" customFormat="1" ht="15">
      <c r="A214" s="43">
        <v>382</v>
      </c>
      <c r="B214" s="44" t="s">
        <v>35</v>
      </c>
      <c r="C214" s="43">
        <v>200</v>
      </c>
      <c r="D214" s="4">
        <f>20.39/10*2</f>
        <v>4.0780000000000003</v>
      </c>
      <c r="E214" s="4">
        <f>17.72/10*2</f>
        <v>3.5439999999999996</v>
      </c>
      <c r="F214" s="4">
        <f>87.89/10*2</f>
        <v>17.577999999999999</v>
      </c>
      <c r="G214" s="4">
        <f>593/10*2</f>
        <v>118.6</v>
      </c>
      <c r="H214" s="4">
        <f>0.28/10*2</f>
        <v>5.6000000000000008E-2</v>
      </c>
      <c r="I214" s="4">
        <f>7.94/10*2</f>
        <v>1.5880000000000001</v>
      </c>
      <c r="J214" s="4">
        <f>122/10*2</f>
        <v>24.4</v>
      </c>
      <c r="K214" s="4"/>
      <c r="L214" s="4">
        <f>761.1/10*2</f>
        <v>152.22</v>
      </c>
      <c r="M214" s="4">
        <f>622.8/10*2</f>
        <v>124.55999999999999</v>
      </c>
      <c r="N214" s="4">
        <f>106.7/10*2</f>
        <v>21.34</v>
      </c>
      <c r="O214" s="4">
        <f>2.39/10*2</f>
        <v>0.47800000000000004</v>
      </c>
    </row>
    <row r="215" spans="1:27" s="9" customFormat="1" ht="16.149999999999999" customHeight="1">
      <c r="A215" s="27" t="s">
        <v>11</v>
      </c>
      <c r="B215" s="27"/>
      <c r="C215" s="27"/>
      <c r="D215" s="74">
        <f t="shared" ref="D215:F215" si="15">SUM(D210:D214)</f>
        <v>12.878</v>
      </c>
      <c r="E215" s="74">
        <f t="shared" si="15"/>
        <v>22.763999999999999</v>
      </c>
      <c r="F215" s="74">
        <f t="shared" si="15"/>
        <v>77.248000000000005</v>
      </c>
      <c r="G215" s="74">
        <f>SUM(G210:G214)</f>
        <v>524.6</v>
      </c>
      <c r="H215" s="74"/>
      <c r="I215" s="74"/>
      <c r="J215" s="74"/>
      <c r="K215" s="74"/>
      <c r="L215" s="74"/>
      <c r="M215" s="74"/>
      <c r="N215" s="74"/>
      <c r="O215" s="74"/>
    </row>
    <row r="216" spans="1:27" s="9" customFormat="1" ht="18.75">
      <c r="A216" s="145" t="s">
        <v>19</v>
      </c>
      <c r="B216" s="145"/>
      <c r="C216" s="145"/>
      <c r="D216" s="145"/>
      <c r="E216" s="145"/>
      <c r="F216" s="145"/>
      <c r="G216" s="145"/>
      <c r="H216" s="145"/>
      <c r="I216" s="145"/>
      <c r="J216" s="145"/>
      <c r="K216" s="145"/>
      <c r="L216" s="145"/>
      <c r="M216" s="145"/>
      <c r="N216" s="145"/>
      <c r="O216" s="145"/>
      <c r="P216" s="16"/>
    </row>
    <row r="217" spans="1:27" s="45" customFormat="1" ht="25.5">
      <c r="A217" s="43">
        <v>67</v>
      </c>
      <c r="B217" s="44" t="s">
        <v>53</v>
      </c>
      <c r="C217" s="43">
        <v>100</v>
      </c>
      <c r="D217" s="4">
        <v>1.4</v>
      </c>
      <c r="E217" s="4">
        <v>10.039999999999999</v>
      </c>
      <c r="F217" s="4">
        <v>7.29</v>
      </c>
      <c r="G217" s="4">
        <f>125.1</f>
        <v>125.1</v>
      </c>
      <c r="H217" s="4">
        <f>0.44/10</f>
        <v>4.3999999999999997E-2</v>
      </c>
      <c r="I217" s="4">
        <v>9.6300000000000008</v>
      </c>
      <c r="J217" s="4"/>
      <c r="K217" s="4">
        <v>4.5</v>
      </c>
      <c r="L217" s="4">
        <v>31.23</v>
      </c>
      <c r="M217" s="4">
        <v>43.27</v>
      </c>
      <c r="N217" s="4">
        <v>19.53</v>
      </c>
      <c r="O217" s="4">
        <v>0.83</v>
      </c>
    </row>
    <row r="218" spans="1:27" s="9" customFormat="1" ht="25.5" customHeight="1">
      <c r="A218" s="43">
        <v>112</v>
      </c>
      <c r="B218" s="44" t="s">
        <v>80</v>
      </c>
      <c r="C218" s="43">
        <v>250</v>
      </c>
      <c r="D218" s="4">
        <f>10.27/4+0.8</f>
        <v>3.3674999999999997</v>
      </c>
      <c r="E218" s="4">
        <f>11.12/4+0.2</f>
        <v>2.98</v>
      </c>
      <c r="F218" s="4">
        <f>62.75/4</f>
        <v>15.6875</v>
      </c>
      <c r="G218" s="4">
        <f>436/4+5+30</f>
        <v>144</v>
      </c>
      <c r="H218" s="4">
        <f>0.37/4</f>
        <v>9.2499999999999999E-2</v>
      </c>
      <c r="I218" s="4">
        <f>24.3/4</f>
        <v>6.0750000000000002</v>
      </c>
      <c r="J218" s="4"/>
      <c r="K218" s="4">
        <f>5.8/4</f>
        <v>1.45</v>
      </c>
      <c r="L218" s="4">
        <f>118/4+2</f>
        <v>31.5</v>
      </c>
      <c r="M218" s="4">
        <f>230.9/4</f>
        <v>57.725000000000001</v>
      </c>
      <c r="N218" s="4">
        <f>95.2/4</f>
        <v>23.8</v>
      </c>
      <c r="O218" s="4">
        <f>4/4</f>
        <v>1</v>
      </c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</row>
    <row r="219" spans="1:27" s="45" customFormat="1" ht="25.5">
      <c r="A219" s="43">
        <v>288</v>
      </c>
      <c r="B219" s="44" t="s">
        <v>60</v>
      </c>
      <c r="C219" s="43">
        <v>110</v>
      </c>
      <c r="D219" s="4">
        <f>11.73*2</f>
        <v>23.46</v>
      </c>
      <c r="E219" s="4">
        <f>12.91*2</f>
        <v>25.82</v>
      </c>
      <c r="F219" s="4">
        <f>0.25*2</f>
        <v>0.5</v>
      </c>
      <c r="G219" s="4">
        <f>164*2</f>
        <v>328</v>
      </c>
      <c r="H219" s="4">
        <f>0.02*2</f>
        <v>0.04</v>
      </c>
      <c r="I219" s="4">
        <f>11.75*2</f>
        <v>23.5</v>
      </c>
      <c r="J219" s="4">
        <f>48.1*2</f>
        <v>96.2</v>
      </c>
      <c r="K219" s="4">
        <f>0.21*2</f>
        <v>0.42</v>
      </c>
      <c r="L219" s="4">
        <f>28*2</f>
        <v>56</v>
      </c>
      <c r="M219" s="4">
        <f>83.55*2</f>
        <v>167.1</v>
      </c>
      <c r="N219" s="4">
        <f>10.14*2</f>
        <v>20.28</v>
      </c>
      <c r="O219" s="4">
        <f>0.91*2</f>
        <v>1.82</v>
      </c>
    </row>
    <row r="220" spans="1:27" s="45" customFormat="1" ht="15">
      <c r="A220" s="43">
        <v>312</v>
      </c>
      <c r="B220" s="44" t="s">
        <v>13</v>
      </c>
      <c r="C220" s="43">
        <v>150</v>
      </c>
      <c r="D220" s="4">
        <f>20.473/100*15</f>
        <v>3.0709499999999998</v>
      </c>
      <c r="E220" s="4">
        <f>32.01/100/15</f>
        <v>2.1340000000000001E-2</v>
      </c>
      <c r="F220" s="4">
        <f>136.26/100*15</f>
        <v>20.438999999999997</v>
      </c>
      <c r="G220" s="4">
        <f>915/100*15</f>
        <v>137.25</v>
      </c>
      <c r="H220" s="4">
        <f>0.93/100*15</f>
        <v>0.13950000000000001</v>
      </c>
      <c r="I220" s="4">
        <f>121.07/100*15</f>
        <v>18.160499999999999</v>
      </c>
      <c r="J220" s="4"/>
      <c r="K220" s="4">
        <f>1.21/100*15</f>
        <v>0.18149999999999999</v>
      </c>
      <c r="L220" s="4">
        <f>246.5/100*15</f>
        <v>36.974999999999994</v>
      </c>
      <c r="M220" s="4">
        <f>577.3/100*15</f>
        <v>86.594999999999999</v>
      </c>
      <c r="N220" s="4">
        <f>185/100*15</f>
        <v>27.75</v>
      </c>
      <c r="O220" s="4">
        <f>6.73/100*15</f>
        <v>1.0095000000000001</v>
      </c>
    </row>
    <row r="221" spans="1:27" s="45" customFormat="1" ht="15">
      <c r="A221" s="43">
        <v>388</v>
      </c>
      <c r="B221" s="44" t="s">
        <v>38</v>
      </c>
      <c r="C221" s="43">
        <v>200</v>
      </c>
      <c r="D221" s="4">
        <f>3.39/5</f>
        <v>0.67800000000000005</v>
      </c>
      <c r="E221" s="4">
        <f>1.39/5</f>
        <v>0.27799999999999997</v>
      </c>
      <c r="F221" s="4">
        <f>103.8/5</f>
        <v>20.759999999999998</v>
      </c>
      <c r="G221" s="4">
        <f>441/5</f>
        <v>88.2</v>
      </c>
      <c r="H221" s="4">
        <f>0.06/5</f>
        <v>1.2E-2</v>
      </c>
      <c r="I221" s="4">
        <f>500/5</f>
        <v>100</v>
      </c>
      <c r="J221" s="4"/>
      <c r="K221" s="4">
        <f>3.8/5</f>
        <v>0.76</v>
      </c>
      <c r="L221" s="4">
        <f>106.7/5</f>
        <v>21.34</v>
      </c>
      <c r="M221" s="4">
        <f>17.2/5</f>
        <v>3.44</v>
      </c>
      <c r="N221" s="4">
        <f>17.2/5</f>
        <v>3.44</v>
      </c>
      <c r="O221" s="4">
        <f>3.17/5</f>
        <v>0.63400000000000001</v>
      </c>
    </row>
    <row r="222" spans="1:27" s="45" customFormat="1" ht="15">
      <c r="A222" s="14"/>
      <c r="B222" s="44" t="s">
        <v>14</v>
      </c>
      <c r="C222" s="43">
        <v>40</v>
      </c>
      <c r="D222" s="4">
        <v>2.2400000000000002</v>
      </c>
      <c r="E222" s="4">
        <v>0.88</v>
      </c>
      <c r="F222" s="4">
        <v>19.760000000000002</v>
      </c>
      <c r="G222" s="4">
        <v>91.96</v>
      </c>
      <c r="H222" s="4">
        <v>0.04</v>
      </c>
      <c r="I222" s="4"/>
      <c r="J222" s="4"/>
      <c r="K222" s="4">
        <v>0.36</v>
      </c>
      <c r="L222" s="4">
        <v>9.1999999999999993</v>
      </c>
      <c r="M222" s="4">
        <v>42.4</v>
      </c>
      <c r="N222" s="4">
        <v>10</v>
      </c>
      <c r="O222" s="4">
        <v>1.24</v>
      </c>
    </row>
    <row r="223" spans="1:27" s="45" customFormat="1" ht="15">
      <c r="A223" s="14"/>
      <c r="B223" s="44" t="s">
        <v>49</v>
      </c>
      <c r="C223" s="43">
        <v>40</v>
      </c>
      <c r="D223" s="4">
        <v>3.16</v>
      </c>
      <c r="E223" s="4">
        <v>0.4</v>
      </c>
      <c r="F223" s="4">
        <v>19.32</v>
      </c>
      <c r="G223" s="4">
        <v>93.52</v>
      </c>
      <c r="H223" s="4">
        <v>0.04</v>
      </c>
      <c r="I223" s="4"/>
      <c r="J223" s="4"/>
      <c r="K223" s="4">
        <v>0.52</v>
      </c>
      <c r="L223" s="4">
        <v>9.1999999999999993</v>
      </c>
      <c r="M223" s="4">
        <v>34.799999999999997</v>
      </c>
      <c r="N223" s="4">
        <v>13.2</v>
      </c>
      <c r="O223" s="4">
        <v>0.44</v>
      </c>
    </row>
    <row r="224" spans="1:27" s="9" customFormat="1" ht="16.149999999999999" customHeight="1">
      <c r="A224" s="27" t="s">
        <v>11</v>
      </c>
      <c r="B224" s="27"/>
      <c r="C224" s="27"/>
      <c r="D224" s="74">
        <f t="shared" ref="D224:F224" si="16">SUM(D217:D223)</f>
        <v>37.376450000000006</v>
      </c>
      <c r="E224" s="74">
        <f t="shared" si="16"/>
        <v>40.419340000000005</v>
      </c>
      <c r="F224" s="74">
        <f t="shared" si="16"/>
        <v>103.75650000000002</v>
      </c>
      <c r="G224" s="74">
        <f>SUM(G217:G223)</f>
        <v>1008.0300000000001</v>
      </c>
      <c r="H224" s="74"/>
      <c r="I224" s="74"/>
      <c r="J224" s="74"/>
      <c r="K224" s="74"/>
      <c r="L224" s="74"/>
      <c r="M224" s="74"/>
      <c r="N224" s="74"/>
      <c r="O224" s="74"/>
    </row>
    <row r="225" spans="1:15">
      <c r="A225" s="41" t="s">
        <v>31</v>
      </c>
      <c r="B225" s="6" t="s">
        <v>78</v>
      </c>
    </row>
    <row r="226" spans="1:15" ht="25.5">
      <c r="A226" s="41" t="s">
        <v>32</v>
      </c>
      <c r="B226" s="6" t="s">
        <v>33</v>
      </c>
    </row>
    <row r="227" spans="1:15" ht="15.75" customHeight="1">
      <c r="A227" s="112" t="s">
        <v>21</v>
      </c>
      <c r="B227" s="112" t="s">
        <v>18</v>
      </c>
      <c r="C227" s="112" t="s">
        <v>20</v>
      </c>
      <c r="D227" s="109" t="s">
        <v>24</v>
      </c>
      <c r="E227" s="110"/>
      <c r="F227" s="111"/>
      <c r="G227" s="112" t="s">
        <v>0</v>
      </c>
      <c r="H227" s="109" t="s">
        <v>23</v>
      </c>
      <c r="I227" s="110"/>
      <c r="J227" s="110"/>
      <c r="K227" s="111"/>
      <c r="L227" s="109" t="s">
        <v>22</v>
      </c>
      <c r="M227" s="110"/>
      <c r="N227" s="110"/>
      <c r="O227" s="111"/>
    </row>
    <row r="228" spans="1:15" ht="24" customHeight="1">
      <c r="A228" s="113"/>
      <c r="B228" s="116"/>
      <c r="C228" s="115"/>
      <c r="D228" s="42" t="s">
        <v>1</v>
      </c>
      <c r="E228" s="42" t="s">
        <v>2</v>
      </c>
      <c r="F228" s="42" t="s">
        <v>3</v>
      </c>
      <c r="G228" s="113"/>
      <c r="H228" s="42" t="s">
        <v>42</v>
      </c>
      <c r="I228" s="42" t="s">
        <v>4</v>
      </c>
      <c r="J228" s="42" t="s">
        <v>5</v>
      </c>
      <c r="K228" s="42" t="s">
        <v>6</v>
      </c>
      <c r="L228" s="42" t="s">
        <v>7</v>
      </c>
      <c r="M228" s="42" t="s">
        <v>8</v>
      </c>
      <c r="N228" s="42" t="s">
        <v>9</v>
      </c>
      <c r="O228" s="42" t="s">
        <v>10</v>
      </c>
    </row>
    <row r="229" spans="1:15">
      <c r="A229" s="114" t="s">
        <v>25</v>
      </c>
      <c r="B229" s="114"/>
      <c r="C229" s="114"/>
      <c r="D229" s="114"/>
      <c r="E229" s="114"/>
      <c r="F229" s="114"/>
      <c r="G229" s="114"/>
      <c r="H229" s="114"/>
      <c r="I229" s="114"/>
      <c r="J229" s="114"/>
      <c r="K229" s="114"/>
      <c r="L229" s="114"/>
      <c r="M229" s="114"/>
      <c r="N229" s="114"/>
      <c r="O229" s="114"/>
    </row>
    <row r="230" spans="1:15" s="8" customFormat="1" ht="38.25">
      <c r="A230" s="43">
        <v>173</v>
      </c>
      <c r="B230" s="44" t="s">
        <v>70</v>
      </c>
      <c r="C230" s="43" t="s">
        <v>62</v>
      </c>
      <c r="D230" s="4">
        <v>9.0399999999999991</v>
      </c>
      <c r="E230" s="4">
        <v>13.44</v>
      </c>
      <c r="F230" s="4">
        <v>40.159999999999997</v>
      </c>
      <c r="G230" s="4">
        <v>318</v>
      </c>
      <c r="H230" s="4">
        <v>0.21</v>
      </c>
      <c r="I230" s="4">
        <v>0.96</v>
      </c>
      <c r="J230" s="4">
        <v>54.8</v>
      </c>
      <c r="K230" s="4">
        <v>0.73</v>
      </c>
      <c r="L230" s="4">
        <v>158.65</v>
      </c>
      <c r="M230" s="4">
        <v>264.86</v>
      </c>
      <c r="N230" s="4">
        <v>72.05</v>
      </c>
      <c r="O230" s="4">
        <v>2.09</v>
      </c>
    </row>
    <row r="231" spans="1:15" s="45" customFormat="1" ht="15">
      <c r="A231" s="99">
        <v>2</v>
      </c>
      <c r="B231" s="44" t="s">
        <v>85</v>
      </c>
      <c r="C231" s="43">
        <v>60</v>
      </c>
      <c r="D231" s="4">
        <v>3.7</v>
      </c>
      <c r="E231" s="4">
        <v>8.5</v>
      </c>
      <c r="F231" s="4">
        <v>26.25</v>
      </c>
      <c r="G231" s="4">
        <v>155</v>
      </c>
      <c r="H231" s="4">
        <v>3.4000000000000002E-2</v>
      </c>
      <c r="I231" s="4"/>
      <c r="J231" s="4">
        <v>0.13</v>
      </c>
      <c r="K231" s="4">
        <v>0.44</v>
      </c>
      <c r="L231" s="4">
        <v>8.4</v>
      </c>
      <c r="M231" s="4">
        <v>22.5</v>
      </c>
      <c r="N231" s="4">
        <v>4.2</v>
      </c>
      <c r="O231" s="4">
        <v>0.35</v>
      </c>
    </row>
    <row r="232" spans="1:15" s="45" customFormat="1" ht="15">
      <c r="A232" s="100"/>
      <c r="B232" s="14" t="s">
        <v>49</v>
      </c>
      <c r="C232" s="18">
        <v>50</v>
      </c>
      <c r="D232" s="101"/>
      <c r="E232" s="102"/>
      <c r="F232" s="102"/>
      <c r="G232" s="102"/>
      <c r="H232" s="102"/>
      <c r="I232" s="102"/>
      <c r="J232" s="102"/>
      <c r="K232" s="102"/>
      <c r="L232" s="102"/>
      <c r="M232" s="102"/>
      <c r="N232" s="102"/>
      <c r="O232" s="103"/>
    </row>
    <row r="233" spans="1:15" s="45" customFormat="1" ht="15">
      <c r="A233" s="100"/>
      <c r="B233" s="14" t="s">
        <v>50</v>
      </c>
      <c r="C233" s="18">
        <v>10</v>
      </c>
      <c r="D233" s="104"/>
      <c r="E233" s="105"/>
      <c r="F233" s="105"/>
      <c r="G233" s="105"/>
      <c r="H233" s="105"/>
      <c r="I233" s="105"/>
      <c r="J233" s="105"/>
      <c r="K233" s="105"/>
      <c r="L233" s="105"/>
      <c r="M233" s="105"/>
      <c r="N233" s="105"/>
      <c r="O233" s="106"/>
    </row>
    <row r="234" spans="1:15" s="45" customFormat="1" ht="15">
      <c r="A234" s="43">
        <v>382</v>
      </c>
      <c r="B234" s="44" t="s">
        <v>35</v>
      </c>
      <c r="C234" s="43">
        <v>200</v>
      </c>
      <c r="D234" s="4">
        <f>20.39/10*2</f>
        <v>4.0780000000000003</v>
      </c>
      <c r="E234" s="4">
        <f>17.72/10*2</f>
        <v>3.5439999999999996</v>
      </c>
      <c r="F234" s="4">
        <f>87.89/10*2</f>
        <v>17.577999999999999</v>
      </c>
      <c r="G234" s="4">
        <f>593/10*2</f>
        <v>118.6</v>
      </c>
      <c r="H234" s="4">
        <f>0.28/10*2</f>
        <v>5.6000000000000008E-2</v>
      </c>
      <c r="I234" s="4">
        <f>7.94/10*2</f>
        <v>1.5880000000000001</v>
      </c>
      <c r="J234" s="4">
        <f>122/10*2</f>
        <v>24.4</v>
      </c>
      <c r="K234" s="4"/>
      <c r="L234" s="4">
        <f>761.1/10*2</f>
        <v>152.22</v>
      </c>
      <c r="M234" s="4">
        <f>622.8/10*2</f>
        <v>124.55999999999999</v>
      </c>
      <c r="N234" s="4">
        <f>106.7/10*2</f>
        <v>21.34</v>
      </c>
      <c r="O234" s="4">
        <f>2.39/10*2</f>
        <v>0.47800000000000004</v>
      </c>
    </row>
    <row r="235" spans="1:15" s="45" customFormat="1" ht="15">
      <c r="A235" s="14"/>
      <c r="B235" s="44" t="s">
        <v>49</v>
      </c>
      <c r="C235" s="43">
        <v>40</v>
      </c>
      <c r="D235" s="4">
        <v>3.16</v>
      </c>
      <c r="E235" s="4">
        <v>0.4</v>
      </c>
      <c r="F235" s="4">
        <v>19.32</v>
      </c>
      <c r="G235" s="4">
        <v>93.52</v>
      </c>
      <c r="H235" s="4">
        <v>0.04</v>
      </c>
      <c r="I235" s="4"/>
      <c r="J235" s="4"/>
      <c r="K235" s="4">
        <v>0.52</v>
      </c>
      <c r="L235" s="4">
        <v>9.1999999999999993</v>
      </c>
      <c r="M235" s="4">
        <v>34.799999999999997</v>
      </c>
      <c r="N235" s="4">
        <v>13.2</v>
      </c>
      <c r="O235" s="4">
        <v>0.44</v>
      </c>
    </row>
    <row r="236" spans="1:15" s="8" customFormat="1">
      <c r="A236" s="27" t="s">
        <v>11</v>
      </c>
      <c r="B236" s="27"/>
      <c r="C236" s="27"/>
      <c r="D236" s="28">
        <f>SUM(D230:D235)</f>
        <v>19.977999999999998</v>
      </c>
      <c r="E236" s="28">
        <f>SUM(E230:E235)</f>
        <v>25.883999999999997</v>
      </c>
      <c r="F236" s="28">
        <f>SUM(F230:F235)</f>
        <v>103.30799999999999</v>
      </c>
      <c r="G236" s="28">
        <f>SUM(G230:G235)</f>
        <v>685.12</v>
      </c>
      <c r="H236" s="46"/>
      <c r="I236" s="46"/>
      <c r="J236" s="46"/>
      <c r="K236" s="46"/>
      <c r="L236" s="46"/>
      <c r="M236" s="46"/>
      <c r="N236" s="46"/>
      <c r="O236" s="46"/>
    </row>
    <row r="237" spans="1:15" s="8" customFormat="1" ht="15" customHeight="1">
      <c r="A237" s="107" t="s">
        <v>19</v>
      </c>
      <c r="B237" s="107"/>
      <c r="C237" s="107"/>
      <c r="D237" s="107"/>
      <c r="E237" s="107"/>
      <c r="F237" s="107"/>
      <c r="G237" s="107"/>
      <c r="H237" s="107"/>
      <c r="I237" s="107"/>
      <c r="J237" s="107"/>
      <c r="K237" s="107"/>
      <c r="L237" s="107"/>
      <c r="M237" s="107"/>
      <c r="N237" s="107"/>
      <c r="O237" s="108"/>
    </row>
    <row r="238" spans="1:15" s="39" customFormat="1" ht="25.5">
      <c r="A238" s="47">
        <v>131</v>
      </c>
      <c r="B238" s="11" t="s">
        <v>82</v>
      </c>
      <c r="C238" s="47">
        <v>25</v>
      </c>
      <c r="D238" s="38">
        <v>0.81</v>
      </c>
      <c r="E238" s="38">
        <v>0.93</v>
      </c>
      <c r="F238" s="38">
        <v>1.5</v>
      </c>
      <c r="G238" s="38">
        <v>17.75</v>
      </c>
      <c r="H238" s="38">
        <v>0.02</v>
      </c>
      <c r="I238" s="38">
        <v>2.73</v>
      </c>
      <c r="J238" s="38">
        <v>4.76</v>
      </c>
      <c r="K238" s="38">
        <v>0.06</v>
      </c>
      <c r="L238" s="38">
        <v>6.67</v>
      </c>
      <c r="M238" s="38">
        <v>16.46</v>
      </c>
      <c r="N238" s="38">
        <v>5.66</v>
      </c>
      <c r="O238" s="38">
        <v>0.2</v>
      </c>
    </row>
    <row r="239" spans="1:15" s="45" customFormat="1" ht="38.25">
      <c r="A239" s="43">
        <v>96</v>
      </c>
      <c r="B239" s="44" t="s">
        <v>57</v>
      </c>
      <c r="C239" s="43">
        <v>250</v>
      </c>
      <c r="D239" s="4">
        <f>8.07/4+0.8</f>
        <v>2.8174999999999999</v>
      </c>
      <c r="E239" s="4">
        <f>(20.36/4)+0.2</f>
        <v>5.29</v>
      </c>
      <c r="F239" s="4">
        <f>47.92/4</f>
        <v>11.98</v>
      </c>
      <c r="G239" s="4">
        <f>429/4+5+30</f>
        <v>142.25</v>
      </c>
      <c r="H239" s="4">
        <f>0.37/4</f>
        <v>9.2499999999999999E-2</v>
      </c>
      <c r="I239" s="4">
        <f>33.5/4</f>
        <v>8.375</v>
      </c>
      <c r="J239" s="4"/>
      <c r="K239" s="4">
        <f>9.4/4</f>
        <v>2.35</v>
      </c>
      <c r="L239" s="4">
        <f>116.6/4+2</f>
        <v>31.15</v>
      </c>
      <c r="M239" s="4">
        <f>226.9/4</f>
        <v>56.725000000000001</v>
      </c>
      <c r="N239" s="4">
        <f>96.7/4</f>
        <v>24.175000000000001</v>
      </c>
      <c r="O239" s="4">
        <f>3.7/4</f>
        <v>0.92500000000000004</v>
      </c>
    </row>
    <row r="240" spans="1:15" s="8" customFormat="1">
      <c r="A240" s="43">
        <v>309</v>
      </c>
      <c r="B240" s="44" t="s">
        <v>12</v>
      </c>
      <c r="C240" s="43">
        <v>150</v>
      </c>
      <c r="D240" s="4">
        <f>36.78/100*15</f>
        <v>5.5170000000000003</v>
      </c>
      <c r="E240" s="4">
        <f>30.1/100*15</f>
        <v>4.5149999999999997</v>
      </c>
      <c r="F240" s="4">
        <f>176.3/100*15</f>
        <v>26.445</v>
      </c>
      <c r="G240" s="4">
        <f>1123/100*15</f>
        <v>168.45000000000002</v>
      </c>
      <c r="H240" s="4">
        <f>0.37/100*15</f>
        <v>5.5500000000000001E-2</v>
      </c>
      <c r="I240" s="4"/>
      <c r="J240" s="4"/>
      <c r="K240" s="4">
        <f>6.46/100*15</f>
        <v>0.96900000000000008</v>
      </c>
      <c r="L240" s="4">
        <f>32.4/100*15</f>
        <v>4.8600000000000003</v>
      </c>
      <c r="M240" s="4">
        <f>247.8/100*15</f>
        <v>37.17</v>
      </c>
      <c r="N240" s="4">
        <f>140.8/100*15</f>
        <v>21.12</v>
      </c>
      <c r="O240" s="4">
        <f>7.37/100*15</f>
        <v>1.1054999999999999</v>
      </c>
    </row>
    <row r="241" spans="1:19" s="45" customFormat="1" ht="15">
      <c r="A241" s="43">
        <v>246</v>
      </c>
      <c r="B241" s="44" t="s">
        <v>83</v>
      </c>
      <c r="C241" s="43">
        <v>100</v>
      </c>
      <c r="D241" s="4">
        <v>13.36</v>
      </c>
      <c r="E241" s="4">
        <v>14.08</v>
      </c>
      <c r="F241" s="4">
        <v>0.85</v>
      </c>
      <c r="G241" s="4">
        <v>164</v>
      </c>
      <c r="H241" s="4">
        <v>0.01</v>
      </c>
      <c r="I241" s="4">
        <v>1.2</v>
      </c>
      <c r="J241" s="4"/>
      <c r="K241" s="4"/>
      <c r="L241" s="4">
        <v>23.6</v>
      </c>
      <c r="M241" s="4">
        <v>117.03</v>
      </c>
      <c r="N241" s="4">
        <v>20.27</v>
      </c>
      <c r="O241" s="4">
        <v>2</v>
      </c>
    </row>
    <row r="242" spans="1:19" s="8" customFormat="1">
      <c r="A242" s="43">
        <v>348</v>
      </c>
      <c r="B242" s="44" t="s">
        <v>41</v>
      </c>
      <c r="C242" s="43">
        <v>200</v>
      </c>
      <c r="D242" s="4">
        <f>3.9/5</f>
        <v>0.78</v>
      </c>
      <c r="E242" s="4">
        <f>0.23/5</f>
        <v>4.5999999999999999E-2</v>
      </c>
      <c r="F242" s="4">
        <f>138.15/5</f>
        <v>27.630000000000003</v>
      </c>
      <c r="G242" s="4">
        <f>574/5</f>
        <v>114.8</v>
      </c>
      <c r="H242" s="4">
        <f>0.08/5</f>
        <v>1.6E-2</v>
      </c>
      <c r="I242" s="4">
        <f>3/5</f>
        <v>0.6</v>
      </c>
      <c r="J242" s="4"/>
      <c r="K242" s="4">
        <f>4.12/5</f>
        <v>0.82400000000000007</v>
      </c>
      <c r="L242" s="4">
        <f>161.6/5</f>
        <v>32.32</v>
      </c>
      <c r="M242" s="4">
        <f>109.5/5</f>
        <v>21.9</v>
      </c>
      <c r="N242" s="4">
        <f>87.8/5</f>
        <v>17.559999999999999</v>
      </c>
      <c r="O242" s="4">
        <f>2.4/5</f>
        <v>0.48</v>
      </c>
    </row>
    <row r="243" spans="1:19" s="8" customFormat="1">
      <c r="A243" s="14"/>
      <c r="B243" s="44" t="s">
        <v>14</v>
      </c>
      <c r="C243" s="43">
        <v>40</v>
      </c>
      <c r="D243" s="4">
        <v>2.2400000000000002</v>
      </c>
      <c r="E243" s="4">
        <v>0.88</v>
      </c>
      <c r="F243" s="4">
        <v>19.760000000000002</v>
      </c>
      <c r="G243" s="4">
        <v>91.96</v>
      </c>
      <c r="H243" s="4">
        <v>0.04</v>
      </c>
      <c r="I243" s="4"/>
      <c r="J243" s="4"/>
      <c r="K243" s="4">
        <v>0.36</v>
      </c>
      <c r="L243" s="4">
        <v>9.1999999999999993</v>
      </c>
      <c r="M243" s="4">
        <v>42.4</v>
      </c>
      <c r="N243" s="4">
        <v>10</v>
      </c>
      <c r="O243" s="4">
        <v>1.24</v>
      </c>
    </row>
    <row r="244" spans="1:19" s="45" customFormat="1" ht="15">
      <c r="A244" s="14"/>
      <c r="B244" s="44" t="s">
        <v>49</v>
      </c>
      <c r="C244" s="43">
        <v>40</v>
      </c>
      <c r="D244" s="4">
        <v>3.16</v>
      </c>
      <c r="E244" s="4">
        <v>0.4</v>
      </c>
      <c r="F244" s="4">
        <v>19.32</v>
      </c>
      <c r="G244" s="4">
        <v>93.52</v>
      </c>
      <c r="H244" s="4">
        <v>0.04</v>
      </c>
      <c r="I244" s="4"/>
      <c r="J244" s="4"/>
      <c r="K244" s="4">
        <v>0.52</v>
      </c>
      <c r="L244" s="4">
        <v>9.1999999999999993</v>
      </c>
      <c r="M244" s="4">
        <v>34.799999999999997</v>
      </c>
      <c r="N244" s="4">
        <v>13.2</v>
      </c>
      <c r="O244" s="4">
        <v>0.44</v>
      </c>
    </row>
    <row r="245" spans="1:19" s="8" customFormat="1">
      <c r="A245" s="27" t="s">
        <v>11</v>
      </c>
      <c r="B245" s="27"/>
      <c r="C245" s="27"/>
      <c r="D245" s="28">
        <f t="shared" ref="D245:F245" si="17">SUM(D238:D244)</f>
        <v>28.684500000000003</v>
      </c>
      <c r="E245" s="28">
        <f t="shared" si="17"/>
        <v>26.140999999999995</v>
      </c>
      <c r="F245" s="28">
        <f t="shared" si="17"/>
        <v>107.48500000000001</v>
      </c>
      <c r="G245" s="28">
        <f>SUM(G238:G244)</f>
        <v>792.73</v>
      </c>
      <c r="H245" s="28"/>
      <c r="I245" s="28"/>
      <c r="J245" s="28"/>
      <c r="K245" s="28"/>
      <c r="L245" s="28"/>
      <c r="M245" s="28"/>
      <c r="N245" s="28"/>
      <c r="O245" s="28"/>
    </row>
    <row r="246" spans="1:19" s="1" customFormat="1" ht="15.75">
      <c r="A246" s="48" t="s">
        <v>27</v>
      </c>
      <c r="B246" s="40" t="s">
        <v>34</v>
      </c>
      <c r="C246" s="49"/>
    </row>
    <row r="247" spans="1:19" s="1" customFormat="1" ht="15.75">
      <c r="A247" s="48" t="s">
        <v>29</v>
      </c>
      <c r="B247" s="40" t="s">
        <v>84</v>
      </c>
      <c r="C247" s="49"/>
    </row>
    <row r="248" spans="1:19" s="1" customFormat="1" ht="15.75">
      <c r="A248" s="48" t="s">
        <v>31</v>
      </c>
      <c r="B248" s="6" t="s">
        <v>78</v>
      </c>
      <c r="C248" s="49"/>
    </row>
    <row r="249" spans="1:19" s="1" customFormat="1" ht="31.5">
      <c r="A249" s="48" t="s">
        <v>32</v>
      </c>
      <c r="B249" s="40" t="s">
        <v>33</v>
      </c>
      <c r="C249" s="49"/>
    </row>
    <row r="250" spans="1:19" s="1" customFormat="1" ht="15.75">
      <c r="A250" s="126" t="s">
        <v>21</v>
      </c>
      <c r="B250" s="126" t="s">
        <v>18</v>
      </c>
      <c r="C250" s="129" t="s">
        <v>20</v>
      </c>
      <c r="D250" s="117" t="s">
        <v>24</v>
      </c>
      <c r="E250" s="118"/>
      <c r="F250" s="119"/>
      <c r="G250" s="126" t="s">
        <v>0</v>
      </c>
      <c r="H250" s="117" t="s">
        <v>23</v>
      </c>
      <c r="I250" s="118"/>
      <c r="J250" s="118"/>
      <c r="K250" s="119"/>
      <c r="L250" s="117" t="s">
        <v>22</v>
      </c>
      <c r="M250" s="118"/>
      <c r="N250" s="118"/>
      <c r="O250" s="119"/>
    </row>
    <row r="251" spans="1:19" s="1" customFormat="1" ht="15.75">
      <c r="A251" s="127"/>
      <c r="B251" s="128"/>
      <c r="C251" s="130"/>
      <c r="D251" s="50" t="s">
        <v>1</v>
      </c>
      <c r="E251" s="50" t="s">
        <v>2</v>
      </c>
      <c r="F251" s="50" t="s">
        <v>3</v>
      </c>
      <c r="G251" s="127"/>
      <c r="H251" s="50" t="s">
        <v>63</v>
      </c>
      <c r="I251" s="50" t="s">
        <v>4</v>
      </c>
      <c r="J251" s="50" t="s">
        <v>5</v>
      </c>
      <c r="K251" s="50" t="s">
        <v>6</v>
      </c>
      <c r="L251" s="50" t="s">
        <v>7</v>
      </c>
      <c r="M251" s="50" t="s">
        <v>8</v>
      </c>
      <c r="N251" s="50" t="s">
        <v>9</v>
      </c>
      <c r="O251" s="50" t="s">
        <v>10</v>
      </c>
    </row>
    <row r="252" spans="1:19" s="1" customFormat="1" ht="18.75">
      <c r="A252" s="120" t="s">
        <v>25</v>
      </c>
      <c r="B252" s="121"/>
      <c r="C252" s="121"/>
      <c r="D252" s="121"/>
      <c r="E252" s="121"/>
      <c r="F252" s="121"/>
      <c r="G252" s="121"/>
      <c r="H252" s="121"/>
      <c r="I252" s="121"/>
      <c r="J252" s="121"/>
      <c r="K252" s="121"/>
      <c r="L252" s="121"/>
      <c r="M252" s="121"/>
      <c r="N252" s="121"/>
      <c r="O252" s="121"/>
    </row>
    <row r="253" spans="1:19" s="9" customFormat="1" ht="25.5">
      <c r="A253" s="99">
        <v>218</v>
      </c>
      <c r="B253" s="44" t="s">
        <v>44</v>
      </c>
      <c r="C253" s="51">
        <v>130</v>
      </c>
      <c r="D253" s="4">
        <v>16.329999999999998</v>
      </c>
      <c r="E253" s="4">
        <v>8</v>
      </c>
      <c r="F253" s="4">
        <v>16.309999999999999</v>
      </c>
      <c r="G253" s="4">
        <v>203</v>
      </c>
      <c r="H253" s="4">
        <v>0.05</v>
      </c>
      <c r="I253" s="4">
        <v>0.37</v>
      </c>
      <c r="J253" s="4">
        <v>56.1</v>
      </c>
      <c r="K253" s="4">
        <v>0.32</v>
      </c>
      <c r="L253" s="4">
        <v>132.81</v>
      </c>
      <c r="M253" s="4">
        <v>167.3</v>
      </c>
      <c r="N253" s="4">
        <v>21</v>
      </c>
      <c r="O253" s="4">
        <v>0.4</v>
      </c>
    </row>
    <row r="254" spans="1:19" s="9" customFormat="1">
      <c r="A254" s="122"/>
      <c r="B254" s="14" t="s">
        <v>65</v>
      </c>
      <c r="C254" s="51">
        <v>30</v>
      </c>
      <c r="D254" s="123"/>
      <c r="E254" s="124"/>
      <c r="F254" s="124"/>
      <c r="G254" s="124"/>
      <c r="H254" s="124"/>
      <c r="I254" s="124"/>
      <c r="J254" s="124"/>
      <c r="K254" s="124"/>
      <c r="L254" s="124"/>
      <c r="M254" s="124"/>
      <c r="N254" s="124"/>
      <c r="O254" s="125"/>
    </row>
    <row r="255" spans="1:19" s="45" customFormat="1" ht="15">
      <c r="A255" s="99">
        <v>2</v>
      </c>
      <c r="B255" s="44" t="s">
        <v>66</v>
      </c>
      <c r="C255" s="20">
        <v>60</v>
      </c>
      <c r="D255" s="26">
        <v>3.7</v>
      </c>
      <c r="E255" s="26">
        <v>8.5</v>
      </c>
      <c r="F255" s="26">
        <v>26.25</v>
      </c>
      <c r="G255" s="26">
        <v>155</v>
      </c>
      <c r="H255" s="26">
        <v>3.4000000000000002E-2</v>
      </c>
      <c r="I255" s="26"/>
      <c r="J255" s="26">
        <v>0.13</v>
      </c>
      <c r="K255" s="26">
        <v>0.44</v>
      </c>
      <c r="L255" s="26">
        <v>8.4</v>
      </c>
      <c r="M255" s="26">
        <v>22.5</v>
      </c>
      <c r="N255" s="26">
        <v>4.2</v>
      </c>
      <c r="O255" s="26">
        <v>0.35</v>
      </c>
      <c r="P255" s="52"/>
      <c r="Q255" s="52"/>
      <c r="R255" s="52"/>
      <c r="S255" s="52"/>
    </row>
    <row r="256" spans="1:19" s="9" customFormat="1" ht="15">
      <c r="A256" s="100"/>
      <c r="B256" s="14" t="s">
        <v>67</v>
      </c>
      <c r="C256" s="20">
        <v>50</v>
      </c>
      <c r="D256" s="131"/>
      <c r="E256" s="132"/>
      <c r="F256" s="132"/>
      <c r="G256" s="132"/>
      <c r="H256" s="132"/>
      <c r="I256" s="132"/>
      <c r="J256" s="132"/>
      <c r="K256" s="132"/>
      <c r="L256" s="132"/>
      <c r="M256" s="132"/>
      <c r="N256" s="132"/>
      <c r="O256" s="133"/>
      <c r="P256" s="19"/>
      <c r="Q256" s="19"/>
      <c r="R256" s="15"/>
      <c r="S256" s="15"/>
    </row>
    <row r="257" spans="1:19" ht="15">
      <c r="A257" s="122"/>
      <c r="B257" s="13" t="s">
        <v>50</v>
      </c>
      <c r="C257" s="20">
        <v>10</v>
      </c>
      <c r="D257" s="134"/>
      <c r="E257" s="135"/>
      <c r="F257" s="135"/>
      <c r="G257" s="135"/>
      <c r="H257" s="135"/>
      <c r="I257" s="135"/>
      <c r="J257" s="135"/>
      <c r="K257" s="135"/>
      <c r="L257" s="135"/>
      <c r="M257" s="135"/>
      <c r="N257" s="135"/>
      <c r="O257" s="136"/>
      <c r="P257" s="19"/>
      <c r="Q257" s="19"/>
      <c r="R257" s="53"/>
      <c r="S257" s="53"/>
    </row>
    <row r="258" spans="1:19" s="45" customFormat="1" ht="15">
      <c r="A258" s="54">
        <v>377</v>
      </c>
      <c r="B258" s="44" t="s">
        <v>74</v>
      </c>
      <c r="C258" s="43">
        <v>200</v>
      </c>
      <c r="D258" s="4">
        <f>2/5</f>
        <v>0.4</v>
      </c>
      <c r="E258" s="4">
        <f>0.51/5</f>
        <v>0.10200000000000001</v>
      </c>
      <c r="F258" s="4">
        <f>0.4/5</f>
        <v>0.08</v>
      </c>
      <c r="G258" s="4">
        <f>32/5</f>
        <v>6.4</v>
      </c>
      <c r="H258" s="4">
        <f>0.01/5</f>
        <v>2E-3</v>
      </c>
      <c r="I258" s="4">
        <f>1/5</f>
        <v>0.2</v>
      </c>
      <c r="J258" s="4">
        <f>0</f>
        <v>0</v>
      </c>
      <c r="K258" s="4">
        <f>0</f>
        <v>0</v>
      </c>
      <c r="L258" s="4">
        <f>98.1/5</f>
        <v>19.619999999999997</v>
      </c>
      <c r="M258" s="4">
        <f>82.4/5</f>
        <v>16.48</v>
      </c>
      <c r="N258" s="4">
        <f>44/5</f>
        <v>8.8000000000000007</v>
      </c>
      <c r="O258" s="4">
        <f>8.2/5</f>
        <v>1.64</v>
      </c>
    </row>
    <row r="259" spans="1:19" s="1" customFormat="1" ht="15">
      <c r="A259" s="55" t="s">
        <v>11</v>
      </c>
      <c r="B259" s="56"/>
      <c r="C259" s="57"/>
      <c r="D259" s="58">
        <f>SUM(D253:D258)</f>
        <v>20.429999999999996</v>
      </c>
      <c r="E259" s="58">
        <f t="shared" ref="E259:G259" si="18">SUM(E253:E258)</f>
        <v>16.602</v>
      </c>
      <c r="F259" s="58">
        <f t="shared" si="18"/>
        <v>42.64</v>
      </c>
      <c r="G259" s="58">
        <f t="shared" si="18"/>
        <v>364.4</v>
      </c>
      <c r="H259" s="58"/>
      <c r="I259" s="58"/>
      <c r="J259" s="58"/>
      <c r="K259" s="58"/>
      <c r="L259" s="58"/>
      <c r="M259" s="58"/>
      <c r="N259" s="58"/>
      <c r="O259" s="58"/>
      <c r="P259" s="59"/>
      <c r="Q259" s="59"/>
      <c r="R259" s="59"/>
      <c r="S259" s="59"/>
    </row>
    <row r="260" spans="1:19" s="1" customFormat="1" ht="18.75">
      <c r="A260" s="137" t="s">
        <v>19</v>
      </c>
      <c r="B260" s="137"/>
      <c r="C260" s="137"/>
      <c r="D260" s="137"/>
      <c r="E260" s="137"/>
      <c r="F260" s="137"/>
      <c r="G260" s="137"/>
      <c r="H260" s="137"/>
      <c r="I260" s="137"/>
      <c r="J260" s="137"/>
      <c r="K260" s="137"/>
      <c r="L260" s="137"/>
      <c r="M260" s="137"/>
      <c r="N260" s="137"/>
      <c r="O260" s="137"/>
      <c r="P260" s="59"/>
      <c r="Q260" s="59"/>
      <c r="R260" s="59"/>
      <c r="S260" s="59"/>
    </row>
    <row r="261" spans="1:19" s="45" customFormat="1" ht="25.5">
      <c r="A261" s="43">
        <v>67</v>
      </c>
      <c r="B261" s="44" t="s">
        <v>53</v>
      </c>
      <c r="C261" s="51">
        <v>100</v>
      </c>
      <c r="D261" s="4">
        <v>1.4</v>
      </c>
      <c r="E261" s="4">
        <v>10.039999999999999</v>
      </c>
      <c r="F261" s="4">
        <v>7.29</v>
      </c>
      <c r="G261" s="4">
        <f>125.1</f>
        <v>125.1</v>
      </c>
      <c r="H261" s="4">
        <f>0.44/10</f>
        <v>4.3999999999999997E-2</v>
      </c>
      <c r="I261" s="4">
        <v>9.6300000000000008</v>
      </c>
      <c r="J261" s="4"/>
      <c r="K261" s="4">
        <v>4.5</v>
      </c>
      <c r="L261" s="4">
        <v>31.23</v>
      </c>
      <c r="M261" s="4">
        <v>43.27</v>
      </c>
      <c r="N261" s="4">
        <v>19.53</v>
      </c>
      <c r="O261" s="60">
        <v>0.83</v>
      </c>
      <c r="P261" s="52"/>
      <c r="Q261" s="52"/>
      <c r="R261" s="52"/>
      <c r="S261" s="52"/>
    </row>
    <row r="262" spans="1:19" s="1" customFormat="1" ht="25.5">
      <c r="A262" s="47">
        <v>82</v>
      </c>
      <c r="B262" s="11" t="s">
        <v>79</v>
      </c>
      <c r="C262" s="61">
        <v>250</v>
      </c>
      <c r="D262" s="2">
        <f>(7.21/4)+0.8</f>
        <v>2.6025</v>
      </c>
      <c r="E262" s="2">
        <f>(19.68/4)+0.2</f>
        <v>5.12</v>
      </c>
      <c r="F262" s="2">
        <f>43.73/4</f>
        <v>10.932499999999999</v>
      </c>
      <c r="G262" s="2">
        <f>(415/4)+5+30</f>
        <v>138.75</v>
      </c>
      <c r="H262" s="2">
        <f>0.2/4</f>
        <v>0.05</v>
      </c>
      <c r="I262" s="2">
        <f>42.7/4</f>
        <v>10.675000000000001</v>
      </c>
      <c r="J262" s="2"/>
      <c r="K262" s="2">
        <f>9.6/4</f>
        <v>2.4</v>
      </c>
      <c r="L262" s="2">
        <f>(198.9/4)+2</f>
        <v>51.725000000000001</v>
      </c>
      <c r="M262" s="2">
        <f>218.4/4</f>
        <v>54.6</v>
      </c>
      <c r="N262" s="2">
        <f>104.5/4</f>
        <v>26.125</v>
      </c>
      <c r="O262" s="2">
        <f>4.9/4</f>
        <v>1.2250000000000001</v>
      </c>
    </row>
    <row r="263" spans="1:19" s="45" customFormat="1" ht="25.5">
      <c r="A263" s="43">
        <v>229</v>
      </c>
      <c r="B263" s="44" t="s">
        <v>45</v>
      </c>
      <c r="C263" s="51">
        <v>100</v>
      </c>
      <c r="D263" s="4">
        <v>9.75</v>
      </c>
      <c r="E263" s="4">
        <v>4.95</v>
      </c>
      <c r="F263" s="4">
        <v>3.8</v>
      </c>
      <c r="G263" s="4">
        <v>105</v>
      </c>
      <c r="H263" s="4">
        <v>0.05</v>
      </c>
      <c r="I263" s="4">
        <v>3.73</v>
      </c>
      <c r="J263" s="4">
        <v>5.82</v>
      </c>
      <c r="K263" s="4">
        <v>2.52</v>
      </c>
      <c r="L263" s="4">
        <v>39.07</v>
      </c>
      <c r="M263" s="4">
        <v>162.19</v>
      </c>
      <c r="N263" s="4">
        <v>48.53</v>
      </c>
      <c r="O263" s="4">
        <v>0.85</v>
      </c>
    </row>
    <row r="264" spans="1:19" s="1" customFormat="1" ht="15">
      <c r="A264" s="62">
        <v>312</v>
      </c>
      <c r="B264" s="44" t="s">
        <v>13</v>
      </c>
      <c r="C264" s="63">
        <v>150</v>
      </c>
      <c r="D264" s="2">
        <f>20.473/100*15</f>
        <v>3.0709499999999998</v>
      </c>
      <c r="E264" s="2">
        <f>32.01/100/15</f>
        <v>2.1340000000000001E-2</v>
      </c>
      <c r="F264" s="2">
        <f>136.26/100*15</f>
        <v>20.438999999999997</v>
      </c>
      <c r="G264" s="2">
        <f>915/100*15</f>
        <v>137.25</v>
      </c>
      <c r="H264" s="2">
        <f>0.93/100*15</f>
        <v>0.13950000000000001</v>
      </c>
      <c r="I264" s="2">
        <f>121.07/100*15</f>
        <v>18.160499999999999</v>
      </c>
      <c r="J264" s="2"/>
      <c r="K264" s="2">
        <f>1.21/100*15</f>
        <v>0.18149999999999999</v>
      </c>
      <c r="L264" s="2">
        <f>246.5/100*15</f>
        <v>36.974999999999994</v>
      </c>
      <c r="M264" s="2">
        <f>577.3/100*15</f>
        <v>86.594999999999999</v>
      </c>
      <c r="N264" s="2">
        <f>185/100*15</f>
        <v>27.75</v>
      </c>
      <c r="O264" s="2">
        <f>6.73/100*15</f>
        <v>1.0095000000000001</v>
      </c>
    </row>
    <row r="265" spans="1:19" s="45" customFormat="1" ht="15">
      <c r="A265" s="43">
        <v>389</v>
      </c>
      <c r="B265" s="44" t="s">
        <v>72</v>
      </c>
      <c r="C265" s="23">
        <v>200</v>
      </c>
      <c r="D265" s="24">
        <f>1</f>
        <v>1</v>
      </c>
      <c r="E265" s="23">
        <v>0</v>
      </c>
      <c r="F265" s="24">
        <f>101/5</f>
        <v>20.2</v>
      </c>
      <c r="G265" s="23">
        <f>424/5</f>
        <v>84.8</v>
      </c>
      <c r="H265" s="24">
        <f>0.11/5</f>
        <v>2.1999999999999999E-2</v>
      </c>
      <c r="I265" s="23">
        <f>30/5</f>
        <v>6</v>
      </c>
      <c r="J265" s="24">
        <v>0</v>
      </c>
      <c r="K265" s="23">
        <f>1/5</f>
        <v>0.2</v>
      </c>
      <c r="L265" s="24">
        <f>70/5</f>
        <v>14</v>
      </c>
      <c r="M265" s="23">
        <f>70/5</f>
        <v>14</v>
      </c>
      <c r="N265" s="24">
        <f>40/5</f>
        <v>8</v>
      </c>
      <c r="O265" s="25">
        <f>14/5</f>
        <v>2.8</v>
      </c>
    </row>
    <row r="266" spans="1:19" s="8" customFormat="1">
      <c r="A266" s="14"/>
      <c r="B266" s="44" t="s">
        <v>14</v>
      </c>
      <c r="C266" s="43">
        <v>40</v>
      </c>
      <c r="D266" s="4">
        <v>2.2400000000000002</v>
      </c>
      <c r="E266" s="4">
        <v>0.88</v>
      </c>
      <c r="F266" s="4">
        <v>19.760000000000002</v>
      </c>
      <c r="G266" s="4">
        <v>91.96</v>
      </c>
      <c r="H266" s="4">
        <v>0.04</v>
      </c>
      <c r="I266" s="4"/>
      <c r="J266" s="4"/>
      <c r="K266" s="4">
        <v>0.36</v>
      </c>
      <c r="L266" s="4">
        <v>9.1999999999999993</v>
      </c>
      <c r="M266" s="4">
        <v>42.4</v>
      </c>
      <c r="N266" s="4">
        <v>10</v>
      </c>
      <c r="O266" s="4">
        <v>1.24</v>
      </c>
    </row>
    <row r="267" spans="1:19" s="45" customFormat="1" ht="15">
      <c r="A267" s="14"/>
      <c r="B267" s="44" t="s">
        <v>49</v>
      </c>
      <c r="C267" s="43">
        <v>40</v>
      </c>
      <c r="D267" s="4">
        <v>3.16</v>
      </c>
      <c r="E267" s="4">
        <v>0.4</v>
      </c>
      <c r="F267" s="4">
        <v>19.32</v>
      </c>
      <c r="G267" s="4">
        <v>93.52</v>
      </c>
      <c r="H267" s="4">
        <v>0.04</v>
      </c>
      <c r="I267" s="4"/>
      <c r="J267" s="4"/>
      <c r="K267" s="4">
        <v>0.52</v>
      </c>
      <c r="L267" s="4">
        <v>9.1999999999999993</v>
      </c>
      <c r="M267" s="4">
        <v>34.799999999999997</v>
      </c>
      <c r="N267" s="4">
        <v>13.2</v>
      </c>
      <c r="O267" s="4">
        <v>0.44</v>
      </c>
    </row>
    <row r="268" spans="1:19" s="45" customFormat="1" ht="15">
      <c r="A268" s="64" t="s">
        <v>11</v>
      </c>
      <c r="B268" s="65"/>
      <c r="C268" s="66"/>
      <c r="D268" s="67">
        <f>SUM(D261:D267)</f>
        <v>23.223450000000003</v>
      </c>
      <c r="E268" s="67">
        <f t="shared" ref="E268:F268" si="19">SUM(E261:E267)</f>
        <v>21.411339999999996</v>
      </c>
      <c r="F268" s="67">
        <f t="shared" si="19"/>
        <v>101.7415</v>
      </c>
      <c r="G268" s="67">
        <f>SUM(G261:G267)</f>
        <v>776.38</v>
      </c>
      <c r="H268" s="68"/>
      <c r="I268" s="68"/>
      <c r="J268" s="68"/>
      <c r="K268" s="68"/>
      <c r="L268" s="68"/>
      <c r="M268" s="68"/>
      <c r="N268" s="68"/>
      <c r="O268" s="68"/>
    </row>
    <row r="269" spans="1:19" s="45" customFormat="1" ht="15.75">
      <c r="A269" s="69" t="s">
        <v>27</v>
      </c>
      <c r="B269" s="70" t="s">
        <v>36</v>
      </c>
    </row>
    <row r="270" spans="1:19" s="45" customFormat="1" ht="15.75">
      <c r="A270" s="69" t="s">
        <v>29</v>
      </c>
      <c r="B270" s="70" t="s">
        <v>84</v>
      </c>
    </row>
    <row r="271" spans="1:19" s="45" customFormat="1" ht="15.75">
      <c r="A271" s="69" t="s">
        <v>31</v>
      </c>
      <c r="B271" s="6" t="s">
        <v>78</v>
      </c>
    </row>
    <row r="272" spans="1:19" s="45" customFormat="1" ht="31.5">
      <c r="A272" s="69" t="s">
        <v>32</v>
      </c>
      <c r="B272" s="70" t="s">
        <v>33</v>
      </c>
    </row>
    <row r="273" spans="1:27" s="45" customFormat="1" ht="15.75">
      <c r="A273" s="138" t="s">
        <v>21</v>
      </c>
      <c r="B273" s="138" t="s">
        <v>18</v>
      </c>
      <c r="C273" s="138" t="s">
        <v>20</v>
      </c>
      <c r="D273" s="142" t="s">
        <v>24</v>
      </c>
      <c r="E273" s="143"/>
      <c r="F273" s="144"/>
      <c r="G273" s="138" t="s">
        <v>0</v>
      </c>
      <c r="H273" s="142" t="s">
        <v>23</v>
      </c>
      <c r="I273" s="143"/>
      <c r="J273" s="143"/>
      <c r="K273" s="144"/>
      <c r="L273" s="142" t="s">
        <v>22</v>
      </c>
      <c r="M273" s="143"/>
      <c r="N273" s="143"/>
      <c r="O273" s="144"/>
    </row>
    <row r="274" spans="1:27" s="45" customFormat="1" ht="15.75">
      <c r="A274" s="139"/>
      <c r="B274" s="140"/>
      <c r="C274" s="141"/>
      <c r="D274" s="71" t="s">
        <v>1</v>
      </c>
      <c r="E274" s="71" t="s">
        <v>2</v>
      </c>
      <c r="F274" s="71" t="s">
        <v>3</v>
      </c>
      <c r="G274" s="139"/>
      <c r="H274" s="71" t="s">
        <v>63</v>
      </c>
      <c r="I274" s="71" t="s">
        <v>4</v>
      </c>
      <c r="J274" s="71" t="s">
        <v>5</v>
      </c>
      <c r="K274" s="71" t="s">
        <v>6</v>
      </c>
      <c r="L274" s="71" t="s">
        <v>7</v>
      </c>
      <c r="M274" s="71" t="s">
        <v>8</v>
      </c>
      <c r="N274" s="71" t="s">
        <v>9</v>
      </c>
      <c r="O274" s="71" t="s">
        <v>10</v>
      </c>
    </row>
    <row r="275" spans="1:27" s="45" customFormat="1" ht="18.75">
      <c r="A275" s="145" t="s">
        <v>25</v>
      </c>
      <c r="B275" s="145"/>
      <c r="C275" s="145"/>
      <c r="D275" s="145"/>
      <c r="E275" s="145"/>
      <c r="F275" s="145"/>
      <c r="G275" s="145"/>
      <c r="H275" s="145"/>
      <c r="I275" s="145"/>
      <c r="J275" s="145"/>
      <c r="K275" s="145"/>
      <c r="L275" s="145"/>
      <c r="M275" s="145"/>
      <c r="N275" s="145"/>
      <c r="O275" s="145"/>
    </row>
    <row r="276" spans="1:27" s="3" customFormat="1" ht="25.5">
      <c r="A276" s="72">
        <v>186</v>
      </c>
      <c r="B276" s="44" t="s">
        <v>58</v>
      </c>
      <c r="C276" s="62">
        <v>110</v>
      </c>
      <c r="D276" s="2">
        <f>5.67*2</f>
        <v>11.34</v>
      </c>
      <c r="E276" s="2">
        <f>9.89*2</f>
        <v>19.78</v>
      </c>
      <c r="F276" s="2">
        <f>1.47*2</f>
        <v>2.94</v>
      </c>
      <c r="G276" s="2">
        <f>118*2</f>
        <v>236</v>
      </c>
      <c r="H276" s="2">
        <f>0.03*2</f>
        <v>0.06</v>
      </c>
      <c r="I276" s="2">
        <f>0.17*2</f>
        <v>0.34</v>
      </c>
      <c r="J276" s="2">
        <f>127.4*2</f>
        <v>254.8</v>
      </c>
      <c r="K276" s="2">
        <f>0.29*2</f>
        <v>0.57999999999999996</v>
      </c>
      <c r="L276" s="2">
        <f>50.9*2</f>
        <v>101.8</v>
      </c>
      <c r="M276" s="2">
        <f>95.8*2</f>
        <v>191.6</v>
      </c>
      <c r="N276" s="2">
        <f>7.48*2</f>
        <v>14.96</v>
      </c>
      <c r="O276" s="2">
        <f>1.03*2</f>
        <v>2.06</v>
      </c>
    </row>
    <row r="277" spans="1:27" s="45" customFormat="1" ht="15">
      <c r="A277" s="99">
        <v>2</v>
      </c>
      <c r="B277" s="44" t="s">
        <v>66</v>
      </c>
      <c r="C277" s="35">
        <v>60</v>
      </c>
      <c r="D277" s="34">
        <v>3.7</v>
      </c>
      <c r="E277" s="34">
        <v>8.5</v>
      </c>
      <c r="F277" s="34">
        <v>26.25</v>
      </c>
      <c r="G277" s="34">
        <v>155</v>
      </c>
      <c r="H277" s="34">
        <v>3.4000000000000002E-2</v>
      </c>
      <c r="I277" s="34"/>
      <c r="J277" s="34">
        <v>0.13</v>
      </c>
      <c r="K277" s="34">
        <v>0.44</v>
      </c>
      <c r="L277" s="34">
        <v>8.4</v>
      </c>
      <c r="M277" s="34">
        <v>22.5</v>
      </c>
      <c r="N277" s="34">
        <v>4.2</v>
      </c>
      <c r="O277" s="34">
        <v>0.35</v>
      </c>
      <c r="P277" s="52"/>
      <c r="Q277" s="52"/>
      <c r="R277" s="52"/>
      <c r="S277" s="52"/>
    </row>
    <row r="278" spans="1:27" s="9" customFormat="1" ht="15">
      <c r="A278" s="100"/>
      <c r="B278" s="14" t="s">
        <v>67</v>
      </c>
      <c r="C278" s="35">
        <v>50</v>
      </c>
      <c r="D278" s="146"/>
      <c r="E278" s="147"/>
      <c r="F278" s="147"/>
      <c r="G278" s="147"/>
      <c r="H278" s="147"/>
      <c r="I278" s="147"/>
      <c r="J278" s="147"/>
      <c r="K278" s="147"/>
      <c r="L278" s="147"/>
      <c r="M278" s="147"/>
      <c r="N278" s="147"/>
      <c r="O278" s="148"/>
      <c r="P278" s="36"/>
      <c r="Q278" s="36"/>
      <c r="R278" s="15"/>
      <c r="S278" s="15"/>
    </row>
    <row r="279" spans="1:27" s="8" customFormat="1" ht="15">
      <c r="A279" s="122"/>
      <c r="B279" s="37" t="s">
        <v>50</v>
      </c>
      <c r="C279" s="35">
        <v>10</v>
      </c>
      <c r="D279" s="149"/>
      <c r="E279" s="150"/>
      <c r="F279" s="150"/>
      <c r="G279" s="150"/>
      <c r="H279" s="150"/>
      <c r="I279" s="150"/>
      <c r="J279" s="150"/>
      <c r="K279" s="150"/>
      <c r="L279" s="150"/>
      <c r="M279" s="150"/>
      <c r="N279" s="150"/>
      <c r="O279" s="151"/>
      <c r="P279" s="36"/>
      <c r="Q279" s="36"/>
      <c r="R279" s="73"/>
      <c r="S279" s="73"/>
    </row>
    <row r="280" spans="1:27" s="45" customFormat="1" ht="15">
      <c r="A280" s="43">
        <v>379</v>
      </c>
      <c r="B280" s="44" t="s">
        <v>54</v>
      </c>
      <c r="C280" s="43">
        <v>200</v>
      </c>
      <c r="D280" s="4">
        <f>15.83/5</f>
        <v>3.1659999999999999</v>
      </c>
      <c r="E280" s="4">
        <f>13.39/5</f>
        <v>2.6779999999999999</v>
      </c>
      <c r="F280" s="4">
        <f>79.73/5</f>
        <v>15.946000000000002</v>
      </c>
      <c r="G280" s="4">
        <f>503/5</f>
        <v>100.6</v>
      </c>
      <c r="H280" s="4">
        <f>0.22/5</f>
        <v>4.3999999999999997E-2</v>
      </c>
      <c r="I280" s="4">
        <f>6.5/5</f>
        <v>1.3</v>
      </c>
      <c r="J280" s="4">
        <f>100/5</f>
        <v>20</v>
      </c>
      <c r="K280" s="4"/>
      <c r="L280" s="4">
        <f>628.9/5</f>
        <v>125.78</v>
      </c>
      <c r="M280" s="4">
        <f>450/5</f>
        <v>90</v>
      </c>
      <c r="N280" s="4">
        <f>70/5</f>
        <v>14</v>
      </c>
      <c r="O280" s="4">
        <f>0.67/5</f>
        <v>0.13400000000000001</v>
      </c>
    </row>
    <row r="281" spans="1:27" s="76" customFormat="1" ht="15">
      <c r="A281" s="27" t="s">
        <v>11</v>
      </c>
      <c r="B281" s="27"/>
      <c r="C281" s="27"/>
      <c r="D281" s="74">
        <f>SUM(D276:D280)</f>
        <v>18.206</v>
      </c>
      <c r="E281" s="74">
        <f t="shared" ref="E281:G281" si="20">SUM(E276:E280)</f>
        <v>30.958000000000002</v>
      </c>
      <c r="F281" s="74">
        <f t="shared" si="20"/>
        <v>45.136000000000003</v>
      </c>
      <c r="G281" s="74">
        <f t="shared" si="20"/>
        <v>491.6</v>
      </c>
      <c r="H281" s="75"/>
      <c r="I281" s="29"/>
      <c r="J281" s="29"/>
      <c r="K281" s="29"/>
      <c r="L281" s="29"/>
      <c r="M281" s="29"/>
      <c r="N281" s="29"/>
      <c r="O281" s="29"/>
    </row>
    <row r="282" spans="1:27" s="45" customFormat="1" ht="18.75">
      <c r="A282" s="152" t="s">
        <v>19</v>
      </c>
      <c r="B282" s="153"/>
      <c r="C282" s="153"/>
      <c r="D282" s="153"/>
      <c r="E282" s="153"/>
      <c r="F282" s="153"/>
      <c r="G282" s="153"/>
      <c r="H282" s="153"/>
      <c r="I282" s="153"/>
      <c r="J282" s="153"/>
      <c r="K282" s="153"/>
      <c r="L282" s="153"/>
      <c r="M282" s="153"/>
      <c r="N282" s="153"/>
      <c r="O282" s="154"/>
    </row>
    <row r="283" spans="1:27" s="45" customFormat="1" ht="25.5">
      <c r="A283" s="43">
        <v>45</v>
      </c>
      <c r="B283" s="44" t="s">
        <v>43</v>
      </c>
      <c r="C283" s="43">
        <v>100</v>
      </c>
      <c r="D283" s="4">
        <f>13.12/10</f>
        <v>1.3119999999999998</v>
      </c>
      <c r="E283" s="4">
        <f>32.49/10</f>
        <v>3.2490000000000001</v>
      </c>
      <c r="F283" s="4">
        <f>6.5</f>
        <v>6.5</v>
      </c>
      <c r="G283" s="4">
        <v>60.4</v>
      </c>
      <c r="H283" s="4">
        <v>0.02</v>
      </c>
      <c r="I283" s="4">
        <v>17.010000000000002</v>
      </c>
      <c r="J283" s="4"/>
      <c r="K283" s="4">
        <v>8.39</v>
      </c>
      <c r="L283" s="4">
        <v>24.97</v>
      </c>
      <c r="M283" s="4">
        <v>28.3</v>
      </c>
      <c r="N283" s="4">
        <v>15.09</v>
      </c>
      <c r="O283" s="4">
        <v>0.47</v>
      </c>
    </row>
    <row r="284" spans="1:27" s="9" customFormat="1" ht="25.5" customHeight="1">
      <c r="A284" s="43">
        <v>112</v>
      </c>
      <c r="B284" s="44" t="s">
        <v>59</v>
      </c>
      <c r="C284" s="43">
        <v>250</v>
      </c>
      <c r="D284" s="4">
        <f>10.27/4+0.8</f>
        <v>3.3674999999999997</v>
      </c>
      <c r="E284" s="4">
        <f>11.12/4+0.2</f>
        <v>2.98</v>
      </c>
      <c r="F284" s="4">
        <f>62.75/4</f>
        <v>15.6875</v>
      </c>
      <c r="G284" s="4">
        <f>436/4+5+30</f>
        <v>144</v>
      </c>
      <c r="H284" s="4">
        <f>0.37/4</f>
        <v>9.2499999999999999E-2</v>
      </c>
      <c r="I284" s="4">
        <f>24.3/4</f>
        <v>6.0750000000000002</v>
      </c>
      <c r="J284" s="4"/>
      <c r="K284" s="4">
        <f>5.8/4</f>
        <v>1.45</v>
      </c>
      <c r="L284" s="4">
        <f>118/4+2</f>
        <v>31.5</v>
      </c>
      <c r="M284" s="4">
        <f>230.9/4</f>
        <v>57.725000000000001</v>
      </c>
      <c r="N284" s="4">
        <f>95.2/4</f>
        <v>23.8</v>
      </c>
      <c r="O284" s="4">
        <f>4/4</f>
        <v>1</v>
      </c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</row>
    <row r="285" spans="1:27" s="45" customFormat="1" ht="25.5">
      <c r="A285" s="43">
        <v>295</v>
      </c>
      <c r="B285" s="44" t="s">
        <v>56</v>
      </c>
      <c r="C285" s="43">
        <v>105</v>
      </c>
      <c r="D285" s="4">
        <f>7.65*2</f>
        <v>15.3</v>
      </c>
      <c r="E285" s="4">
        <f>14.7*2</f>
        <v>29.4</v>
      </c>
      <c r="F285" s="4">
        <f>7.73*2</f>
        <v>15.46</v>
      </c>
      <c r="G285" s="4">
        <f>194*2</f>
        <v>388</v>
      </c>
      <c r="H285" s="4">
        <f>0.05*2</f>
        <v>0.1</v>
      </c>
      <c r="I285" s="4">
        <f>0.52*2</f>
        <v>1.04</v>
      </c>
      <c r="J285" s="4">
        <f>45.7*2</f>
        <v>91.4</v>
      </c>
      <c r="K285" s="4">
        <f>1.45*2</f>
        <v>2.9</v>
      </c>
      <c r="L285" s="4">
        <f>27.77*2</f>
        <v>55.54</v>
      </c>
      <c r="M285" s="4">
        <f>48.77*2</f>
        <v>97.54</v>
      </c>
      <c r="N285" s="4">
        <f>10.4*2</f>
        <v>20.8</v>
      </c>
      <c r="O285" s="4">
        <f>0.71*2</f>
        <v>1.42</v>
      </c>
    </row>
    <row r="286" spans="1:27" s="45" customFormat="1" ht="15">
      <c r="A286" s="43">
        <v>139</v>
      </c>
      <c r="B286" s="44" t="s">
        <v>73</v>
      </c>
      <c r="C286" s="43">
        <v>150</v>
      </c>
      <c r="D286" s="4">
        <v>2.04</v>
      </c>
      <c r="E286" s="4">
        <v>3.68</v>
      </c>
      <c r="F286" s="4">
        <v>7.89</v>
      </c>
      <c r="G286" s="4">
        <v>77</v>
      </c>
      <c r="H286" s="4">
        <v>0.04</v>
      </c>
      <c r="I286" s="4">
        <v>17.079999999999998</v>
      </c>
      <c r="J286" s="4">
        <v>0</v>
      </c>
      <c r="K286" s="4">
        <v>1.95</v>
      </c>
      <c r="L286" s="4">
        <v>58.75</v>
      </c>
      <c r="M286" s="4">
        <v>40.69</v>
      </c>
      <c r="N286" s="4">
        <v>20.85</v>
      </c>
      <c r="O286" s="4">
        <v>0.83</v>
      </c>
    </row>
    <row r="287" spans="1:27" s="45" customFormat="1" ht="15">
      <c r="A287" s="43">
        <v>389</v>
      </c>
      <c r="B287" s="44" t="s">
        <v>76</v>
      </c>
      <c r="C287" s="23">
        <v>200</v>
      </c>
      <c r="D287" s="24">
        <f>1</f>
        <v>1</v>
      </c>
      <c r="E287" s="23">
        <v>0</v>
      </c>
      <c r="F287" s="24">
        <f>101/5</f>
        <v>20.2</v>
      </c>
      <c r="G287" s="23">
        <f>424/5</f>
        <v>84.8</v>
      </c>
      <c r="H287" s="24">
        <f>0.11/5</f>
        <v>2.1999999999999999E-2</v>
      </c>
      <c r="I287" s="23">
        <f>30/5</f>
        <v>6</v>
      </c>
      <c r="J287" s="24">
        <v>0</v>
      </c>
      <c r="K287" s="23">
        <f>1/5</f>
        <v>0.2</v>
      </c>
      <c r="L287" s="24">
        <f>70/5</f>
        <v>14</v>
      </c>
      <c r="M287" s="23">
        <f>70/5</f>
        <v>14</v>
      </c>
      <c r="N287" s="24">
        <f>40/5</f>
        <v>8</v>
      </c>
      <c r="O287" s="25">
        <f>14/5</f>
        <v>2.8</v>
      </c>
    </row>
    <row r="288" spans="1:27" s="45" customFormat="1" ht="15">
      <c r="A288" s="14"/>
      <c r="B288" s="44" t="s">
        <v>14</v>
      </c>
      <c r="C288" s="43">
        <v>40</v>
      </c>
      <c r="D288" s="4">
        <v>2.2400000000000002</v>
      </c>
      <c r="E288" s="4">
        <v>0.88</v>
      </c>
      <c r="F288" s="4">
        <v>19.760000000000002</v>
      </c>
      <c r="G288" s="4">
        <v>91.96</v>
      </c>
      <c r="H288" s="4">
        <v>0.04</v>
      </c>
      <c r="I288" s="4"/>
      <c r="J288" s="4"/>
      <c r="K288" s="4">
        <v>0.36</v>
      </c>
      <c r="L288" s="4">
        <v>9.1999999999999993</v>
      </c>
      <c r="M288" s="4">
        <v>42.4</v>
      </c>
      <c r="N288" s="4">
        <v>10</v>
      </c>
      <c r="O288" s="4">
        <v>1.24</v>
      </c>
    </row>
    <row r="289" spans="1:15" s="45" customFormat="1" ht="15">
      <c r="A289" s="14"/>
      <c r="B289" s="44" t="s">
        <v>49</v>
      </c>
      <c r="C289" s="43">
        <v>40</v>
      </c>
      <c r="D289" s="4">
        <v>3.16</v>
      </c>
      <c r="E289" s="4">
        <v>0.4</v>
      </c>
      <c r="F289" s="4">
        <v>19.32</v>
      </c>
      <c r="G289" s="4">
        <v>93.52</v>
      </c>
      <c r="H289" s="4">
        <v>0.04</v>
      </c>
      <c r="I289" s="4"/>
      <c r="J289" s="4"/>
      <c r="K289" s="4">
        <v>0.52</v>
      </c>
      <c r="L289" s="4">
        <v>9.1999999999999993</v>
      </c>
      <c r="M289" s="4">
        <v>34.799999999999997</v>
      </c>
      <c r="N289" s="4">
        <v>13.2</v>
      </c>
      <c r="O289" s="4">
        <v>0.44</v>
      </c>
    </row>
    <row r="290" spans="1:15" s="76" customFormat="1" ht="15">
      <c r="A290" s="27" t="s">
        <v>11</v>
      </c>
      <c r="B290" s="27"/>
      <c r="C290" s="27"/>
      <c r="D290" s="74">
        <f>SUM(D283:D289)</f>
        <v>28.419500000000003</v>
      </c>
      <c r="E290" s="74">
        <f t="shared" ref="E290:F290" si="21">SUM(E283:E289)</f>
        <v>40.588999999999999</v>
      </c>
      <c r="F290" s="74">
        <f t="shared" si="21"/>
        <v>104.8175</v>
      </c>
      <c r="G290" s="74">
        <f>SUM(G283:G289)</f>
        <v>939.68</v>
      </c>
      <c r="H290" s="29"/>
      <c r="I290" s="29"/>
      <c r="J290" s="29"/>
      <c r="K290" s="29"/>
      <c r="L290" s="29"/>
      <c r="M290" s="29"/>
      <c r="N290" s="29"/>
      <c r="O290" s="29"/>
    </row>
    <row r="291" spans="1:15" s="1" customFormat="1" ht="15.75">
      <c r="A291" s="48" t="s">
        <v>27</v>
      </c>
      <c r="B291" s="40" t="s">
        <v>37</v>
      </c>
    </row>
    <row r="292" spans="1:15" s="1" customFormat="1" ht="15.75">
      <c r="A292" s="48" t="s">
        <v>29</v>
      </c>
      <c r="B292" s="40" t="s">
        <v>84</v>
      </c>
    </row>
    <row r="293" spans="1:15" s="1" customFormat="1" ht="15.75">
      <c r="A293" s="48" t="s">
        <v>31</v>
      </c>
      <c r="B293" s="6" t="s">
        <v>78</v>
      </c>
    </row>
    <row r="294" spans="1:15" s="1" customFormat="1" ht="31.5">
      <c r="A294" s="48" t="s">
        <v>32</v>
      </c>
      <c r="B294" s="40" t="s">
        <v>33</v>
      </c>
    </row>
    <row r="295" spans="1:15" s="1" customFormat="1" ht="15.75">
      <c r="A295" s="126" t="s">
        <v>21</v>
      </c>
      <c r="B295" s="126" t="s">
        <v>18</v>
      </c>
      <c r="C295" s="126" t="s">
        <v>20</v>
      </c>
      <c r="D295" s="117" t="s">
        <v>24</v>
      </c>
      <c r="E295" s="118"/>
      <c r="F295" s="119"/>
      <c r="G295" s="126" t="s">
        <v>0</v>
      </c>
      <c r="H295" s="117" t="s">
        <v>23</v>
      </c>
      <c r="I295" s="118"/>
      <c r="J295" s="118"/>
      <c r="K295" s="119"/>
      <c r="L295" s="117" t="s">
        <v>22</v>
      </c>
      <c r="M295" s="118"/>
      <c r="N295" s="118"/>
      <c r="O295" s="119"/>
    </row>
    <row r="296" spans="1:15" s="1" customFormat="1" ht="15.75">
      <c r="A296" s="127"/>
      <c r="B296" s="128"/>
      <c r="C296" s="155"/>
      <c r="D296" s="50" t="s">
        <v>1</v>
      </c>
      <c r="E296" s="50" t="s">
        <v>2</v>
      </c>
      <c r="F296" s="50" t="s">
        <v>3</v>
      </c>
      <c r="G296" s="127"/>
      <c r="H296" s="50" t="s">
        <v>63</v>
      </c>
      <c r="I296" s="50" t="s">
        <v>4</v>
      </c>
      <c r="J296" s="50" t="s">
        <v>5</v>
      </c>
      <c r="K296" s="50" t="s">
        <v>6</v>
      </c>
      <c r="L296" s="50" t="s">
        <v>7</v>
      </c>
      <c r="M296" s="50" t="s">
        <v>8</v>
      </c>
      <c r="N296" s="50" t="s">
        <v>9</v>
      </c>
      <c r="O296" s="50" t="s">
        <v>10</v>
      </c>
    </row>
    <row r="297" spans="1:15" s="1" customFormat="1" ht="18.75">
      <c r="A297" s="121" t="s">
        <v>25</v>
      </c>
      <c r="B297" s="121"/>
      <c r="C297" s="121"/>
      <c r="D297" s="121"/>
      <c r="E297" s="121"/>
      <c r="F297" s="121"/>
      <c r="G297" s="121"/>
      <c r="H297" s="121"/>
      <c r="I297" s="121"/>
      <c r="J297" s="121"/>
      <c r="K297" s="121"/>
      <c r="L297" s="121"/>
      <c r="M297" s="121"/>
      <c r="N297" s="121"/>
      <c r="O297" s="121"/>
    </row>
    <row r="298" spans="1:15" s="45" customFormat="1" ht="24">
      <c r="A298" s="43">
        <v>182</v>
      </c>
      <c r="B298" s="77" t="s">
        <v>64</v>
      </c>
      <c r="C298" s="43" t="s">
        <v>62</v>
      </c>
      <c r="D298" s="4">
        <v>7.51</v>
      </c>
      <c r="E298" s="4">
        <v>11.72</v>
      </c>
      <c r="F298" s="4">
        <v>37.049999999999997</v>
      </c>
      <c r="G298" s="4">
        <v>285</v>
      </c>
      <c r="H298" s="4">
        <v>0.19</v>
      </c>
      <c r="I298" s="4">
        <v>1.17</v>
      </c>
      <c r="J298" s="4">
        <v>58</v>
      </c>
      <c r="K298" s="4">
        <v>0.21</v>
      </c>
      <c r="L298" s="4">
        <v>138.1</v>
      </c>
      <c r="M298" s="4">
        <v>184.37</v>
      </c>
      <c r="N298" s="4">
        <v>47.6</v>
      </c>
      <c r="O298" s="4">
        <v>1.23</v>
      </c>
    </row>
    <row r="299" spans="1:15" s="45" customFormat="1" ht="15">
      <c r="A299" s="99">
        <v>2</v>
      </c>
      <c r="B299" s="44" t="s">
        <v>85</v>
      </c>
      <c r="C299" s="43">
        <v>60</v>
      </c>
      <c r="D299" s="4">
        <v>3.7</v>
      </c>
      <c r="E299" s="4">
        <v>8.5</v>
      </c>
      <c r="F299" s="4">
        <v>26.25</v>
      </c>
      <c r="G299" s="4">
        <v>155</v>
      </c>
      <c r="H299" s="4">
        <v>3.4000000000000002E-2</v>
      </c>
      <c r="I299" s="4"/>
      <c r="J299" s="4">
        <v>0.13</v>
      </c>
      <c r="K299" s="4">
        <v>0.44</v>
      </c>
      <c r="L299" s="4">
        <v>8.4</v>
      </c>
      <c r="M299" s="4">
        <v>22.5</v>
      </c>
      <c r="N299" s="4">
        <v>4.2</v>
      </c>
      <c r="O299" s="4">
        <v>0.35</v>
      </c>
    </row>
    <row r="300" spans="1:15" s="45" customFormat="1" ht="15">
      <c r="A300" s="100"/>
      <c r="B300" s="17" t="s">
        <v>49</v>
      </c>
      <c r="C300" s="18">
        <v>50</v>
      </c>
      <c r="D300" s="101"/>
      <c r="E300" s="102"/>
      <c r="F300" s="102"/>
      <c r="G300" s="102"/>
      <c r="H300" s="102"/>
      <c r="I300" s="102"/>
      <c r="J300" s="102"/>
      <c r="K300" s="102"/>
      <c r="L300" s="102"/>
      <c r="M300" s="102"/>
      <c r="N300" s="102"/>
      <c r="O300" s="103"/>
    </row>
    <row r="301" spans="1:15" s="45" customFormat="1" ht="15">
      <c r="A301" s="100"/>
      <c r="B301" s="17" t="s">
        <v>50</v>
      </c>
      <c r="C301" s="18">
        <v>10</v>
      </c>
      <c r="D301" s="104"/>
      <c r="E301" s="105"/>
      <c r="F301" s="105"/>
      <c r="G301" s="105"/>
      <c r="H301" s="105"/>
      <c r="I301" s="105"/>
      <c r="J301" s="105"/>
      <c r="K301" s="105"/>
      <c r="L301" s="105"/>
      <c r="M301" s="105"/>
      <c r="N301" s="105"/>
      <c r="O301" s="106"/>
    </row>
    <row r="302" spans="1:15" s="45" customFormat="1" ht="15">
      <c r="A302" s="43">
        <v>382</v>
      </c>
      <c r="B302" s="44" t="s">
        <v>35</v>
      </c>
      <c r="C302" s="43">
        <v>200</v>
      </c>
      <c r="D302" s="4">
        <f>20.39/5</f>
        <v>4.0780000000000003</v>
      </c>
      <c r="E302" s="4">
        <f>17.72/5</f>
        <v>3.5439999999999996</v>
      </c>
      <c r="F302" s="4">
        <f>87.89/5</f>
        <v>17.577999999999999</v>
      </c>
      <c r="G302" s="4">
        <f>593/5</f>
        <v>118.6</v>
      </c>
      <c r="H302" s="4">
        <f>0.28/5</f>
        <v>5.6000000000000008E-2</v>
      </c>
      <c r="I302" s="4">
        <f>7.94/5</f>
        <v>1.5880000000000001</v>
      </c>
      <c r="J302" s="4">
        <f>122/5</f>
        <v>24.4</v>
      </c>
      <c r="K302" s="4"/>
      <c r="L302" s="4">
        <f>761.1/5</f>
        <v>152.22</v>
      </c>
      <c r="M302" s="4">
        <f>622.8/5</f>
        <v>124.55999999999999</v>
      </c>
      <c r="N302" s="4">
        <f>106.7/5</f>
        <v>21.34</v>
      </c>
      <c r="O302" s="4">
        <f>2.39/5</f>
        <v>0.47800000000000004</v>
      </c>
    </row>
    <row r="303" spans="1:15" s="45" customFormat="1" ht="15">
      <c r="A303" s="14"/>
      <c r="B303" s="44" t="s">
        <v>49</v>
      </c>
      <c r="C303" s="43">
        <v>40</v>
      </c>
      <c r="D303" s="4">
        <v>3.16</v>
      </c>
      <c r="E303" s="4">
        <v>0.4</v>
      </c>
      <c r="F303" s="4">
        <v>19.32</v>
      </c>
      <c r="G303" s="4">
        <v>93.52</v>
      </c>
      <c r="H303" s="4">
        <v>0.04</v>
      </c>
      <c r="I303" s="4"/>
      <c r="J303" s="4"/>
      <c r="K303" s="4">
        <v>0.52</v>
      </c>
      <c r="L303" s="4">
        <v>9.1999999999999993</v>
      </c>
      <c r="M303" s="4">
        <v>34.799999999999997</v>
      </c>
      <c r="N303" s="4">
        <v>13.2</v>
      </c>
      <c r="O303" s="4">
        <v>0.44</v>
      </c>
    </row>
    <row r="304" spans="1:15" s="45" customFormat="1" ht="15">
      <c r="A304" s="27" t="s">
        <v>11</v>
      </c>
      <c r="B304" s="27"/>
      <c r="C304" s="27"/>
      <c r="D304" s="28">
        <f>SUM(D298:D303)</f>
        <v>18.448</v>
      </c>
      <c r="E304" s="28">
        <f>SUM(E298:E303)</f>
        <v>24.163999999999998</v>
      </c>
      <c r="F304" s="28">
        <f>SUM(F298:F303)</f>
        <v>100.19800000000001</v>
      </c>
      <c r="G304" s="28">
        <f>SUM(G298:G303)</f>
        <v>652.12</v>
      </c>
      <c r="H304" s="28"/>
      <c r="I304" s="28"/>
      <c r="J304" s="28"/>
      <c r="K304" s="28"/>
      <c r="L304" s="28"/>
      <c r="M304" s="28"/>
      <c r="N304" s="28"/>
      <c r="O304" s="28"/>
    </row>
    <row r="305" spans="1:15" s="45" customFormat="1" ht="18.75">
      <c r="A305" s="153" t="s">
        <v>19</v>
      </c>
      <c r="B305" s="153"/>
      <c r="C305" s="153"/>
      <c r="D305" s="153"/>
      <c r="E305" s="153"/>
      <c r="F305" s="153"/>
      <c r="G305" s="153"/>
      <c r="H305" s="153"/>
      <c r="I305" s="153"/>
      <c r="J305" s="153"/>
      <c r="K305" s="153"/>
      <c r="L305" s="153"/>
      <c r="M305" s="153"/>
      <c r="N305" s="153"/>
      <c r="O305" s="154"/>
    </row>
    <row r="306" spans="1:15" s="45" customFormat="1" ht="25.5">
      <c r="A306" s="43">
        <v>54</v>
      </c>
      <c r="B306" s="44" t="s">
        <v>47</v>
      </c>
      <c r="C306" s="43">
        <v>100</v>
      </c>
      <c r="D306" s="4">
        <f>1.9</f>
        <v>1.9</v>
      </c>
      <c r="E306" s="4">
        <v>6.08</v>
      </c>
      <c r="F306" s="4">
        <v>11.2</v>
      </c>
      <c r="G306" s="4">
        <v>103.9</v>
      </c>
      <c r="H306" s="4">
        <v>0.02</v>
      </c>
      <c r="I306" s="4">
        <v>6.44</v>
      </c>
      <c r="J306" s="4"/>
      <c r="K306" s="4">
        <v>10.6</v>
      </c>
      <c r="L306" s="4">
        <v>29.27</v>
      </c>
      <c r="M306" s="4">
        <v>31.8</v>
      </c>
      <c r="N306" s="4">
        <v>16.829999999999998</v>
      </c>
      <c r="O306" s="4">
        <v>1.48</v>
      </c>
    </row>
    <row r="307" spans="1:15" s="45" customFormat="1" ht="38.25">
      <c r="A307" s="43">
        <v>88</v>
      </c>
      <c r="B307" s="44" t="s">
        <v>55</v>
      </c>
      <c r="C307" s="43">
        <v>250</v>
      </c>
      <c r="D307" s="4">
        <f>(7.06/4)+0.8</f>
        <v>2.5649999999999999</v>
      </c>
      <c r="E307" s="4">
        <f>(19.8/4)+0.2</f>
        <v>5.15</v>
      </c>
      <c r="F307" s="4">
        <f>31.61/4</f>
        <v>7.9024999999999999</v>
      </c>
      <c r="G307" s="4">
        <f>(359/4)+5+30</f>
        <v>124.75</v>
      </c>
      <c r="H307" s="4">
        <f>0.23/4</f>
        <v>5.7500000000000002E-2</v>
      </c>
      <c r="I307" s="4">
        <f>63.1/4</f>
        <v>15.775</v>
      </c>
      <c r="J307" s="4"/>
      <c r="K307" s="4">
        <f>9.4/4</f>
        <v>2.35</v>
      </c>
      <c r="L307" s="4">
        <f>(197/4)+2</f>
        <v>51.25</v>
      </c>
      <c r="M307" s="4">
        <f>196/4</f>
        <v>49</v>
      </c>
      <c r="N307" s="4">
        <f>88.5/4</f>
        <v>22.125</v>
      </c>
      <c r="O307" s="4">
        <f>3.3/4</f>
        <v>0.82499999999999996</v>
      </c>
    </row>
    <row r="308" spans="1:15" s="45" customFormat="1" ht="15">
      <c r="A308" s="43">
        <v>302</v>
      </c>
      <c r="B308" s="44" t="s">
        <v>17</v>
      </c>
      <c r="C308" s="43">
        <v>150</v>
      </c>
      <c r="D308" s="4">
        <f>57.32/100*15</f>
        <v>8.5980000000000008</v>
      </c>
      <c r="E308" s="4">
        <f>40.62/100*15</f>
        <v>6.0929999999999991</v>
      </c>
      <c r="F308" s="4">
        <f>257.61/100*15</f>
        <v>38.641500000000008</v>
      </c>
      <c r="G308" s="4">
        <f>1625/100*15</f>
        <v>243.75</v>
      </c>
      <c r="H308" s="4">
        <f>1.39/100*15</f>
        <v>0.20849999999999999</v>
      </c>
      <c r="I308" s="4"/>
      <c r="J308" s="4"/>
      <c r="K308" s="4">
        <f>4.05/100*15</f>
        <v>0.60750000000000004</v>
      </c>
      <c r="L308" s="4">
        <f>98.8/100*15</f>
        <v>14.82</v>
      </c>
      <c r="M308" s="4">
        <f>1359.5/100*15</f>
        <v>203.92500000000001</v>
      </c>
      <c r="N308" s="4">
        <f>905.5/100*15</f>
        <v>135.82499999999999</v>
      </c>
      <c r="O308" s="4">
        <f>30.4/100*15</f>
        <v>4.5599999999999996</v>
      </c>
    </row>
    <row r="309" spans="1:15" s="45" customFormat="1" ht="15">
      <c r="A309" s="43">
        <v>278</v>
      </c>
      <c r="B309" s="44" t="s">
        <v>16</v>
      </c>
      <c r="C309" s="43">
        <v>110</v>
      </c>
      <c r="D309" s="4">
        <v>7.83</v>
      </c>
      <c r="E309" s="4">
        <v>8.75</v>
      </c>
      <c r="F309" s="4">
        <v>10.25</v>
      </c>
      <c r="G309" s="4">
        <v>151</v>
      </c>
      <c r="H309" s="4">
        <v>0.05</v>
      </c>
      <c r="I309" s="4">
        <v>0.72</v>
      </c>
      <c r="J309" s="4">
        <v>33.92</v>
      </c>
      <c r="K309" s="4">
        <v>0.55000000000000004</v>
      </c>
      <c r="L309" s="4">
        <v>27.95</v>
      </c>
      <c r="M309" s="4">
        <v>88.37</v>
      </c>
      <c r="N309" s="4">
        <v>18.329999999999998</v>
      </c>
      <c r="O309" s="4">
        <v>0.87</v>
      </c>
    </row>
    <row r="310" spans="1:15" s="45" customFormat="1" ht="15">
      <c r="A310" s="43">
        <v>389</v>
      </c>
      <c r="B310" s="44" t="s">
        <v>77</v>
      </c>
      <c r="C310" s="23">
        <v>200</v>
      </c>
      <c r="D310" s="24">
        <f>1</f>
        <v>1</v>
      </c>
      <c r="E310" s="23">
        <v>0</v>
      </c>
      <c r="F310" s="24">
        <f>101/5</f>
        <v>20.2</v>
      </c>
      <c r="G310" s="23">
        <f>424/5</f>
        <v>84.8</v>
      </c>
      <c r="H310" s="24">
        <f>0.11/5</f>
        <v>2.1999999999999999E-2</v>
      </c>
      <c r="I310" s="23">
        <f>30/5</f>
        <v>6</v>
      </c>
      <c r="J310" s="24">
        <v>0</v>
      </c>
      <c r="K310" s="23">
        <f>1/5</f>
        <v>0.2</v>
      </c>
      <c r="L310" s="24">
        <f>70/5</f>
        <v>14</v>
      </c>
      <c r="M310" s="23">
        <f>70/5</f>
        <v>14</v>
      </c>
      <c r="N310" s="24">
        <f>40/5</f>
        <v>8</v>
      </c>
      <c r="O310" s="25">
        <f>14/5</f>
        <v>2.8</v>
      </c>
    </row>
    <row r="311" spans="1:15" s="45" customFormat="1" ht="15">
      <c r="A311" s="14"/>
      <c r="B311" s="44" t="s">
        <v>14</v>
      </c>
      <c r="C311" s="43">
        <v>40</v>
      </c>
      <c r="D311" s="4">
        <v>2.2400000000000002</v>
      </c>
      <c r="E311" s="4">
        <v>0.88</v>
      </c>
      <c r="F311" s="4">
        <v>19.760000000000002</v>
      </c>
      <c r="G311" s="4">
        <v>91.96</v>
      </c>
      <c r="H311" s="4">
        <v>0.04</v>
      </c>
      <c r="I311" s="4"/>
      <c r="J311" s="4"/>
      <c r="K311" s="4">
        <v>0.36</v>
      </c>
      <c r="L311" s="4">
        <v>9.1999999999999993</v>
      </c>
      <c r="M311" s="4">
        <v>42.4</v>
      </c>
      <c r="N311" s="4">
        <v>10</v>
      </c>
      <c r="O311" s="4">
        <v>1.24</v>
      </c>
    </row>
    <row r="312" spans="1:15" s="45" customFormat="1" ht="15">
      <c r="A312" s="14"/>
      <c r="B312" s="44" t="s">
        <v>49</v>
      </c>
      <c r="C312" s="43">
        <v>40</v>
      </c>
      <c r="D312" s="4">
        <v>3.16</v>
      </c>
      <c r="E312" s="4">
        <v>0.4</v>
      </c>
      <c r="F312" s="4">
        <v>19.32</v>
      </c>
      <c r="G312" s="4">
        <v>93.52</v>
      </c>
      <c r="H312" s="4">
        <v>0.04</v>
      </c>
      <c r="I312" s="4"/>
      <c r="J312" s="4"/>
      <c r="K312" s="4">
        <v>0.52</v>
      </c>
      <c r="L312" s="4">
        <v>9.1999999999999993</v>
      </c>
      <c r="M312" s="4">
        <v>34.799999999999997</v>
      </c>
      <c r="N312" s="4">
        <v>13.2</v>
      </c>
      <c r="O312" s="4">
        <v>0.44</v>
      </c>
    </row>
    <row r="313" spans="1:15" s="1" customFormat="1" ht="15">
      <c r="A313" s="27" t="s">
        <v>11</v>
      </c>
      <c r="B313" s="27"/>
      <c r="C313" s="27"/>
      <c r="D313" s="28">
        <f>SUM(D306:D312)</f>
        <v>27.293000000000003</v>
      </c>
      <c r="E313" s="28">
        <f t="shared" ref="E313:G313" si="22">SUM(E306:E312)</f>
        <v>27.352999999999998</v>
      </c>
      <c r="F313" s="28">
        <f t="shared" si="22"/>
        <v>127.274</v>
      </c>
      <c r="G313" s="28">
        <f t="shared" si="22"/>
        <v>893.68</v>
      </c>
      <c r="H313" s="28"/>
      <c r="I313" s="28"/>
      <c r="J313" s="28"/>
      <c r="K313" s="28"/>
      <c r="L313" s="28"/>
      <c r="M313" s="28"/>
      <c r="N313" s="28"/>
      <c r="O313" s="28"/>
    </row>
    <row r="314" spans="1:15" ht="15">
      <c r="B314" s="1"/>
      <c r="C314" s="1"/>
      <c r="D314" s="1"/>
      <c r="E314" s="1"/>
      <c r="F314" s="1"/>
    </row>
    <row r="315" spans="1:15" ht="15">
      <c r="B315" s="12"/>
      <c r="C315" s="1"/>
      <c r="D315" s="1"/>
      <c r="E315" s="1"/>
      <c r="F315" s="1"/>
    </row>
  </sheetData>
  <sheetProtection formatCells="0" formatColumns="0" formatRows="0" insertColumns="0" insertRows="0" insertHyperlinks="0" deleteColumns="0" deleteRows="0" sort="0" autoFilter="0" pivotTables="0"/>
  <mergeCells count="158">
    <mergeCell ref="A297:O297"/>
    <mergeCell ref="A299:A301"/>
    <mergeCell ref="D300:O301"/>
    <mergeCell ref="A305:O305"/>
    <mergeCell ref="A275:O275"/>
    <mergeCell ref="A277:A279"/>
    <mergeCell ref="D278:O279"/>
    <mergeCell ref="A282:O282"/>
    <mergeCell ref="A295:A296"/>
    <mergeCell ref="B295:B296"/>
    <mergeCell ref="C295:C296"/>
    <mergeCell ref="D295:F295"/>
    <mergeCell ref="G295:G296"/>
    <mergeCell ref="H295:K295"/>
    <mergeCell ref="L295:O295"/>
    <mergeCell ref="A260:O260"/>
    <mergeCell ref="A273:A274"/>
    <mergeCell ref="B273:B274"/>
    <mergeCell ref="C273:C274"/>
    <mergeCell ref="D273:F273"/>
    <mergeCell ref="G273:G274"/>
    <mergeCell ref="H273:K273"/>
    <mergeCell ref="L273:O273"/>
    <mergeCell ref="A252:O252"/>
    <mergeCell ref="A253:A254"/>
    <mergeCell ref="D254:O254"/>
    <mergeCell ref="A255:A257"/>
    <mergeCell ref="D256:O257"/>
    <mergeCell ref="A229:O229"/>
    <mergeCell ref="A231:A233"/>
    <mergeCell ref="D232:O233"/>
    <mergeCell ref="A237:O237"/>
    <mergeCell ref="A250:A251"/>
    <mergeCell ref="B250:B251"/>
    <mergeCell ref="C250:C251"/>
    <mergeCell ref="D250:F250"/>
    <mergeCell ref="G250:G251"/>
    <mergeCell ref="H250:K250"/>
    <mergeCell ref="L250:O250"/>
    <mergeCell ref="A211:A213"/>
    <mergeCell ref="D212:O213"/>
    <mergeCell ref="A216:O216"/>
    <mergeCell ref="A227:A228"/>
    <mergeCell ref="B227:B228"/>
    <mergeCell ref="C227:C228"/>
    <mergeCell ref="D227:F227"/>
    <mergeCell ref="G227:G228"/>
    <mergeCell ref="H227:K227"/>
    <mergeCell ref="L227:O227"/>
    <mergeCell ref="A194:O194"/>
    <mergeCell ref="A207:A208"/>
    <mergeCell ref="B207:B208"/>
    <mergeCell ref="C207:C208"/>
    <mergeCell ref="D207:F207"/>
    <mergeCell ref="G207:G208"/>
    <mergeCell ref="H207:K207"/>
    <mergeCell ref="L207:O207"/>
    <mergeCell ref="A186:O186"/>
    <mergeCell ref="A187:A188"/>
    <mergeCell ref="D188:O188"/>
    <mergeCell ref="A189:A191"/>
    <mergeCell ref="D190:O191"/>
    <mergeCell ref="A163:O163"/>
    <mergeCell ref="A166:A168"/>
    <mergeCell ref="D167:O168"/>
    <mergeCell ref="A171:O171"/>
    <mergeCell ref="A184:A185"/>
    <mergeCell ref="B184:B185"/>
    <mergeCell ref="C184:C185"/>
    <mergeCell ref="D184:F184"/>
    <mergeCell ref="G184:G185"/>
    <mergeCell ref="H184:K184"/>
    <mergeCell ref="L184:O184"/>
    <mergeCell ref="A140:O140"/>
    <mergeCell ref="A142:A144"/>
    <mergeCell ref="D143:O144"/>
    <mergeCell ref="A148:O148"/>
    <mergeCell ref="A161:A162"/>
    <mergeCell ref="B161:B162"/>
    <mergeCell ref="C161:C162"/>
    <mergeCell ref="D161:F161"/>
    <mergeCell ref="G161:G162"/>
    <mergeCell ref="H161:K161"/>
    <mergeCell ref="L161:O161"/>
    <mergeCell ref="A118:O118"/>
    <mergeCell ref="A120:A122"/>
    <mergeCell ref="D121:O122"/>
    <mergeCell ref="A125:O125"/>
    <mergeCell ref="A138:A139"/>
    <mergeCell ref="B138:B139"/>
    <mergeCell ref="C138:C139"/>
    <mergeCell ref="D138:F138"/>
    <mergeCell ref="G138:G139"/>
    <mergeCell ref="H138:K138"/>
    <mergeCell ref="L138:O138"/>
    <mergeCell ref="A95:O95"/>
    <mergeCell ref="A98:A100"/>
    <mergeCell ref="D99:O100"/>
    <mergeCell ref="A116:A117"/>
    <mergeCell ref="B116:B117"/>
    <mergeCell ref="C116:C117"/>
    <mergeCell ref="D116:F116"/>
    <mergeCell ref="G116:G117"/>
    <mergeCell ref="H116:K116"/>
    <mergeCell ref="L116:O116"/>
    <mergeCell ref="A72:O72"/>
    <mergeCell ref="A74:A76"/>
    <mergeCell ref="D75:O76"/>
    <mergeCell ref="A80:O80"/>
    <mergeCell ref="A93:A94"/>
    <mergeCell ref="B93:B94"/>
    <mergeCell ref="C93:C94"/>
    <mergeCell ref="D93:F93"/>
    <mergeCell ref="G93:G94"/>
    <mergeCell ref="H93:K93"/>
    <mergeCell ref="L93:O93"/>
    <mergeCell ref="A50:O50"/>
    <mergeCell ref="A52:A54"/>
    <mergeCell ref="D53:O54"/>
    <mergeCell ref="A57:O57"/>
    <mergeCell ref="A70:A71"/>
    <mergeCell ref="B70:B71"/>
    <mergeCell ref="C70:C71"/>
    <mergeCell ref="D70:F70"/>
    <mergeCell ref="G70:G71"/>
    <mergeCell ref="H70:K70"/>
    <mergeCell ref="L70:O70"/>
    <mergeCell ref="A30:A32"/>
    <mergeCell ref="D31:O32"/>
    <mergeCell ref="A35:O35"/>
    <mergeCell ref="A48:A49"/>
    <mergeCell ref="B48:B49"/>
    <mergeCell ref="C48:C49"/>
    <mergeCell ref="D48:F48"/>
    <mergeCell ref="G48:G49"/>
    <mergeCell ref="H48:K48"/>
    <mergeCell ref="L48:O48"/>
    <mergeCell ref="H25:K25"/>
    <mergeCell ref="L25:O25"/>
    <mergeCell ref="A27:O27"/>
    <mergeCell ref="A28:A29"/>
    <mergeCell ref="D29:O29"/>
    <mergeCell ref="A25:A26"/>
    <mergeCell ref="B25:B26"/>
    <mergeCell ref="C25:C26"/>
    <mergeCell ref="D25:F25"/>
    <mergeCell ref="G25:G26"/>
    <mergeCell ref="A9:A11"/>
    <mergeCell ref="D10:O11"/>
    <mergeCell ref="A15:O15"/>
    <mergeCell ref="L5:O5"/>
    <mergeCell ref="G5:G6"/>
    <mergeCell ref="A7:O7"/>
    <mergeCell ref="D5:F5"/>
    <mergeCell ref="H5:K5"/>
    <mergeCell ref="C5:C6"/>
    <mergeCell ref="B5:B6"/>
    <mergeCell ref="A5:A6"/>
  </mergeCells>
  <pageMargins left="0.23622047244094491" right="0.23622047244094491" top="0.74803149606299213" bottom="0.74803149606299213" header="0.31496062992125984" footer="0.31496062992125984"/>
  <pageSetup paperSize="9" scale="59" orientation="landscape" r:id="rId1"/>
  <rowBreaks count="6" manualBreakCount="6">
    <brk id="43" max="14" man="1"/>
    <brk id="88" max="14" man="1"/>
    <brk id="133" max="14" man="1"/>
    <brk id="179" max="14" man="1"/>
    <brk id="224" max="14" man="1"/>
    <brk id="268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O21"/>
  <sheetViews>
    <sheetView view="pageBreakPreview" zoomScale="60" workbookViewId="0">
      <selection activeCell="Q13" sqref="Q13"/>
    </sheetView>
  </sheetViews>
  <sheetFormatPr defaultColWidth="8.85546875" defaultRowHeight="15"/>
  <cols>
    <col min="1" max="1" width="10.140625" customWidth="1"/>
    <col min="2" max="2" width="8.28515625" customWidth="1"/>
    <col min="3" max="3" width="40.85546875" customWidth="1"/>
    <col min="4" max="4" width="13.42578125" customWidth="1"/>
    <col min="5" max="5" width="14.85546875" customWidth="1"/>
    <col min="6" max="6" width="45.7109375" customWidth="1"/>
    <col min="7" max="7" width="14.5703125" customWidth="1"/>
    <col min="8" max="8" width="16.5703125" customWidth="1"/>
    <col min="9" max="9" width="38" customWidth="1"/>
    <col min="11" max="11" width="2.28515625" customWidth="1"/>
    <col min="12" max="12" width="2.7109375" customWidth="1"/>
    <col min="13" max="13" width="3" customWidth="1"/>
    <col min="14" max="14" width="8.85546875" hidden="1" customWidth="1"/>
    <col min="15" max="15" width="0.85546875" customWidth="1"/>
  </cols>
  <sheetData>
    <row r="1" spans="1:15" ht="131.25">
      <c r="A1" s="89"/>
      <c r="B1" s="90"/>
      <c r="C1" s="91" t="s">
        <v>100</v>
      </c>
      <c r="D1" s="92"/>
      <c r="E1" s="91"/>
      <c r="F1" s="91" t="s">
        <v>101</v>
      </c>
      <c r="G1" s="91"/>
      <c r="H1" s="93"/>
      <c r="I1" s="91" t="s">
        <v>102</v>
      </c>
    </row>
    <row r="2" spans="1:15" ht="32.25">
      <c r="A2" s="160" t="s">
        <v>86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</row>
    <row r="3" spans="1:15" ht="32.25">
      <c r="A3" s="160" t="s">
        <v>87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</row>
    <row r="4" spans="1:15" ht="21">
      <c r="E4" s="94"/>
      <c r="F4" s="94"/>
    </row>
    <row r="6" spans="1:15" ht="21">
      <c r="A6" s="158" t="s">
        <v>88</v>
      </c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</row>
    <row r="7" spans="1:15" ht="21">
      <c r="A7" s="158" t="s">
        <v>89</v>
      </c>
      <c r="B7" s="159"/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</row>
    <row r="8" spans="1:15" ht="21">
      <c r="A8" s="158" t="s">
        <v>103</v>
      </c>
      <c r="B8" s="159"/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</row>
    <row r="9" spans="1:15" ht="21">
      <c r="A9" s="158" t="s">
        <v>90</v>
      </c>
      <c r="B9" s="159"/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</row>
    <row r="10" spans="1:15" ht="21">
      <c r="A10" s="158" t="s">
        <v>91</v>
      </c>
      <c r="B10" s="159"/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  <c r="O10" s="159"/>
    </row>
    <row r="11" spans="1:15" ht="21">
      <c r="A11" s="158" t="s">
        <v>92</v>
      </c>
      <c r="B11" s="159"/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</row>
    <row r="12" spans="1:15" ht="21">
      <c r="A12" s="158" t="s">
        <v>93</v>
      </c>
      <c r="B12" s="159"/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</row>
    <row r="13" spans="1:15" ht="21">
      <c r="A13" s="95"/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</row>
    <row r="14" spans="1:15" ht="21">
      <c r="A14" s="162" t="s">
        <v>94</v>
      </c>
      <c r="B14" s="163"/>
      <c r="C14" s="163"/>
      <c r="D14" s="163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</row>
    <row r="15" spans="1:15" ht="21">
      <c r="A15" s="162" t="s">
        <v>95</v>
      </c>
      <c r="B15" s="163"/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</row>
    <row r="16" spans="1:15" ht="21">
      <c r="A16" s="162" t="s">
        <v>96</v>
      </c>
      <c r="B16" s="163"/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</row>
    <row r="17" spans="1:15" ht="21">
      <c r="A17" s="162" t="s">
        <v>97</v>
      </c>
      <c r="B17" s="163"/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</row>
    <row r="18" spans="1:15" ht="21">
      <c r="A18" s="96"/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</row>
    <row r="19" spans="1:15" ht="21">
      <c r="A19" s="162" t="s">
        <v>98</v>
      </c>
      <c r="B19" s="163"/>
      <c r="C19" s="163"/>
      <c r="D19" s="163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</row>
    <row r="20" spans="1:15" ht="21">
      <c r="A20" s="162" t="s">
        <v>99</v>
      </c>
      <c r="B20" s="163"/>
      <c r="C20" s="163"/>
      <c r="D20" s="163"/>
      <c r="E20" s="163"/>
      <c r="F20" s="163"/>
      <c r="G20" s="163"/>
      <c r="H20" s="163"/>
      <c r="I20" s="163"/>
      <c r="J20" s="163"/>
      <c r="K20" s="163"/>
      <c r="L20" s="163"/>
      <c r="M20" s="163"/>
      <c r="N20" s="163"/>
      <c r="O20" s="163"/>
    </row>
    <row r="21" spans="1:15" ht="18.75">
      <c r="A21" s="98"/>
    </row>
  </sheetData>
  <mergeCells count="15">
    <mergeCell ref="A17:O17"/>
    <mergeCell ref="A19:O19"/>
    <mergeCell ref="A20:O20"/>
    <mergeCell ref="A10:O10"/>
    <mergeCell ref="A11:O11"/>
    <mergeCell ref="A12:O12"/>
    <mergeCell ref="A14:O14"/>
    <mergeCell ref="A15:O15"/>
    <mergeCell ref="A16:O16"/>
    <mergeCell ref="A9:O9"/>
    <mergeCell ref="A2:O2"/>
    <mergeCell ref="A3:O3"/>
    <mergeCell ref="A6:O6"/>
    <mergeCell ref="A7:O7"/>
    <mergeCell ref="A8:O8"/>
  </mergeCells>
  <pageMargins left="0.7" right="0.7" top="0.75" bottom="0.75" header="0.3" footer="0.3"/>
  <pageSetup paperSize="9"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1-14 день</vt:lpstr>
      <vt:lpstr>тит</vt:lpstr>
      <vt:lpstr>'1-14 день'!Область_печати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Ахмед</dc:creator>
  <cp:lastModifiedBy>Пользователь</cp:lastModifiedBy>
  <cp:lastPrinted>2025-04-07T11:14:45Z</cp:lastPrinted>
  <dcterms:created xsi:type="dcterms:W3CDTF">2017-02-04T19:31:45Z</dcterms:created>
  <dcterms:modified xsi:type="dcterms:W3CDTF">2025-04-07T11:15:19Z</dcterms:modified>
</cp:coreProperties>
</file>